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tabRatio="766" firstSheet="3" activeTab="2"/>
  </bookViews>
  <sheets>
    <sheet name="Zbirni obrazec" sheetId="1" r:id="rId1"/>
    <sheet name="podatki" sheetId="2" r:id="rId2"/>
    <sheet name="obrazec 1" sheetId="3" r:id="rId3"/>
    <sheet name="obrazec 2" sheetId="4" r:id="rId4"/>
    <sheet name="obrazec 3" sheetId="5" r:id="rId5"/>
    <sheet name="obrazec 4" sheetId="6" r:id="rId6"/>
    <sheet name="obrazec 4a" sheetId="7" r:id="rId7"/>
    <sheet name="obrazec 4b" sheetId="8" r:id="rId8"/>
    <sheet name="obrazec 4 - OŠPP" sheetId="9" r:id="rId9"/>
    <sheet name="obrazec 4 - OŠPPa" sheetId="10" r:id="rId10"/>
    <sheet name="obrazec 5" sheetId="11" r:id="rId11"/>
    <sheet name="obrazec 6" sheetId="12" r:id="rId12"/>
    <sheet name="obrazec 6 - OŠPP" sheetId="13" r:id="rId13"/>
    <sheet name="obrazec 7" sheetId="14" r:id="rId14"/>
    <sheet name="obrazec 8" sheetId="15" r:id="rId15"/>
  </sheets>
  <definedNames>
    <definedName name="_xlnm.Print_Area" localSheetId="2">'obrazec 1'!$A$1:$K$118</definedName>
    <definedName name="_xlnm.Print_Area" localSheetId="3">'obrazec 2'!$A$1:$H$54</definedName>
    <definedName name="_xlnm.Print_Area" localSheetId="8">'obrazec 4 - OŠPP'!$A$1:$AF$39</definedName>
    <definedName name="_xlnm.Print_Area" localSheetId="7">'obrazec 4b'!$A$1:$AE$49</definedName>
    <definedName name="_xlnm.Print_Area" localSheetId="10">'obrazec 5'!$E$1:$AI$109</definedName>
    <definedName name="_xlnm.Print_Area" localSheetId="11">'obrazec 6'!$A$1:$AU$80</definedName>
    <definedName name="_xlnm.Print_Area" localSheetId="12">'obrazec 6 - OŠPP'!$A$1:$AT$80</definedName>
    <definedName name="_xlnm.Print_Area" localSheetId="13">'obrazec 7'!$A$1:$P$62</definedName>
    <definedName name="_xlnm.Print_Area" localSheetId="14">'obrazec 8'!$A$1:$CM$61</definedName>
    <definedName name="_xlnm.Print_Area" localSheetId="1">'podatki'!$A$1:$M$31</definedName>
    <definedName name="_xlnm.Print_Area" localSheetId="0">'Zbirni obrazec'!$B$1:$G$41</definedName>
  </definedNames>
  <calcPr fullCalcOnLoad="1"/>
</workbook>
</file>

<file path=xl/sharedStrings.xml><?xml version="1.0" encoding="utf-8"?>
<sst xmlns="http://schemas.openxmlformats.org/spreadsheetml/2006/main" count="1648" uniqueCount="485">
  <si>
    <t>dodatne ure s teoretičnimi vsebinami o zdravem načinu življenja</t>
  </si>
  <si>
    <t>0 ali 6</t>
  </si>
  <si>
    <t>0 ali 5</t>
  </si>
  <si>
    <t>program vsebuje število športnih panog:</t>
  </si>
  <si>
    <t xml:space="preserve">0 - 8 </t>
  </si>
  <si>
    <t>0 - 6</t>
  </si>
  <si>
    <t>19 in več</t>
  </si>
  <si>
    <t>17-18</t>
  </si>
  <si>
    <t>15-16</t>
  </si>
  <si>
    <t>13-14</t>
  </si>
  <si>
    <t>Doseženo št. točk</t>
  </si>
  <si>
    <t>Naziv merila</t>
  </si>
  <si>
    <t>Število možnih točk</t>
  </si>
  <si>
    <t>Kriterij</t>
  </si>
  <si>
    <t xml:space="preserve">v zvezi s prijavo na razpis z dne </t>
  </si>
  <si>
    <t>1.</t>
  </si>
  <si>
    <t>2.</t>
  </si>
  <si>
    <t>3.</t>
  </si>
  <si>
    <t xml:space="preserve">sem dosegel naziv </t>
  </si>
  <si>
    <t>4.</t>
  </si>
  <si>
    <t>Navedeni podatki so resnični in sem jih pripravljen dokazati s predložitvijo ustreznih potrdil.</t>
  </si>
  <si>
    <t>Podpis strokovnega delavca:</t>
  </si>
  <si>
    <t>naziv prijavitelja:</t>
  </si>
  <si>
    <t>naslov:</t>
  </si>
  <si>
    <t>odgovorna oseba:</t>
  </si>
  <si>
    <t>telefon:</t>
  </si>
  <si>
    <t>e naslov:</t>
  </si>
  <si>
    <t xml:space="preserve">naslov: </t>
  </si>
  <si>
    <t xml:space="preserve">odgovorna oseba: </t>
  </si>
  <si>
    <t xml:space="preserve">e naslov: </t>
  </si>
  <si>
    <t>osnovno šolo:</t>
  </si>
  <si>
    <t>društvo:</t>
  </si>
  <si>
    <t xml:space="preserve">V zvezi s prijavo na razpis z dne </t>
  </si>
  <si>
    <t>se osnovna šola</t>
  </si>
  <si>
    <t>5.</t>
  </si>
  <si>
    <t xml:space="preserve">Žig in podpis odgovorne osebe športnega društva: </t>
  </si>
  <si>
    <t>Žig in podpis odgovorne osebe prijavitelja:</t>
  </si>
  <si>
    <t>v sodelovanju z:</t>
  </si>
  <si>
    <t xml:space="preserve">na osnovni šoli </t>
  </si>
  <si>
    <t>ATLETIKA</t>
  </si>
  <si>
    <t>BADMINTON</t>
  </si>
  <si>
    <t>BALINANJE</t>
  </si>
  <si>
    <t>BASEBALL</t>
  </si>
  <si>
    <t>BILJARD</t>
  </si>
  <si>
    <t>BOB</t>
  </si>
  <si>
    <t>BOKS</t>
  </si>
  <si>
    <t>DRSANJE</t>
  </si>
  <si>
    <t>DVIGANJE UTEŽI</t>
  </si>
  <si>
    <t>FLOORBALL</t>
  </si>
  <si>
    <t>GIMNASTIKA</t>
  </si>
  <si>
    <t>GOLF</t>
  </si>
  <si>
    <t>HOKEJ NA LEDU</t>
  </si>
  <si>
    <t>IN LINE HOKEJ</t>
  </si>
  <si>
    <t>HOKEJ NA TRAVI</t>
  </si>
  <si>
    <t>JADRANJE</t>
  </si>
  <si>
    <t>JU JITSU</t>
  </si>
  <si>
    <t>JUDO</t>
  </si>
  <si>
    <t>KAJAK-KANU</t>
  </si>
  <si>
    <t>KARATE</t>
  </si>
  <si>
    <t>KEGLJANJE</t>
  </si>
  <si>
    <t>KEGLJANJE NA LEDU</t>
  </si>
  <si>
    <t>KICKBOKS</t>
  </si>
  <si>
    <t>KOLESARSTVO</t>
  </si>
  <si>
    <t>KONJENIŠTVO</t>
  </si>
  <si>
    <t>KOŠARKA</t>
  </si>
  <si>
    <t>KOTALKANJE</t>
  </si>
  <si>
    <t>LOKOSTRELSTVO</t>
  </si>
  <si>
    <t>NAMIZNI TENIS</t>
  </si>
  <si>
    <t>NOGOMET</t>
  </si>
  <si>
    <t>ODBOJKA</t>
  </si>
  <si>
    <t>ODBOJKA NA MIVKI</t>
  </si>
  <si>
    <t>ORIENTACIJA</t>
  </si>
  <si>
    <t>PLANINSTVO</t>
  </si>
  <si>
    <t>PLAVANJE</t>
  </si>
  <si>
    <t>PLES</t>
  </si>
  <si>
    <t>POTAPLJANJE</t>
  </si>
  <si>
    <t>PODVODNI HOKEJ</t>
  </si>
  <si>
    <t>RAFTING</t>
  </si>
  <si>
    <t>ROKOBORBA</t>
  </si>
  <si>
    <t>ROKOMET</t>
  </si>
  <si>
    <t>SAMBO</t>
  </si>
  <si>
    <t>SANKANJE</t>
  </si>
  <si>
    <t>SKELETON</t>
  </si>
  <si>
    <t>SOFTBALL</t>
  </si>
  <si>
    <t>SQUASH</t>
  </si>
  <si>
    <t>STRELSTVO</t>
  </si>
  <si>
    <t>TAEKWON-DO</t>
  </si>
  <si>
    <t>TENIS</t>
  </si>
  <si>
    <t>TRIATLON</t>
  </si>
  <si>
    <t>AKVATLON</t>
  </si>
  <si>
    <t>DUATLON</t>
  </si>
  <si>
    <t>VATERPOLO</t>
  </si>
  <si>
    <t>VESLANJE</t>
  </si>
  <si>
    <t>SMUČANJE-Alpsko</t>
  </si>
  <si>
    <t>RUGBY</t>
  </si>
  <si>
    <t>zavezuje, da bo v svojih</t>
  </si>
  <si>
    <t>6.</t>
  </si>
  <si>
    <t xml:space="preserve">delodajalcu </t>
  </si>
  <si>
    <t>v</t>
  </si>
  <si>
    <t>Panoga</t>
  </si>
  <si>
    <t>da sem nezaposlen od</t>
  </si>
  <si>
    <t xml:space="preserve">deležu  </t>
  </si>
  <si>
    <t>(št. športnih društev)</t>
  </si>
  <si>
    <t>(naziv in naslov osnovne šole)</t>
  </si>
  <si>
    <t>(skupno število učencev od 1. do 9. razreda)</t>
  </si>
  <si>
    <t>TEDEN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</si>
  <si>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</si>
  <si>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</si>
  <si>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</si>
  <si>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</si>
  <si>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</si>
  <si>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</si>
  <si>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</si>
  <si>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</si>
  <si>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</si>
  <si>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</si>
  <si>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</si>
  <si>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</si>
  <si>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</si>
  <si>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</si>
  <si>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</si>
  <si>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</si>
  <si>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</si>
  <si>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</si>
  <si>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</si>
  <si>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</si>
  <si>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</si>
  <si>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</si>
  <si>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</si>
  <si>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</si>
  <si>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</si>
  <si>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</si>
  <si>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</si>
  <si>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</si>
  <si>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</si>
  <si>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</si>
  <si>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</si>
  <si>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</si>
  <si>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</si>
  <si>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</si>
  <si>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</si>
  <si>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</si>
  <si>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</si>
  <si>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</si>
  <si>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</si>
  <si>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</si>
  <si>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</si>
  <si>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</si>
  <si>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</si>
  <si>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</si>
  <si>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</si>
  <si>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</si>
  <si>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</si>
  <si>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</si>
  <si>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</si>
  <si>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</si>
  <si>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</si>
  <si>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</si>
  <si>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 Seznam športnih panog</t>
  </si>
  <si>
    <t>Štev.</t>
  </si>
  <si>
    <t>SMUČANJE-Nordijsko</t>
  </si>
  <si>
    <t>RAZRED</t>
  </si>
  <si>
    <t>SKUPAJ</t>
  </si>
  <si>
    <t>I</t>
  </si>
  <si>
    <t>K</t>
  </si>
  <si>
    <t>Št. skupin</t>
  </si>
  <si>
    <t>Št. otrok od</t>
  </si>
  <si>
    <t>Potrjujemo, da bo</t>
  </si>
  <si>
    <t xml:space="preserve">(ime in priimek strokovnega delavca) </t>
  </si>
  <si>
    <t>(naziv osnovne šole)</t>
  </si>
  <si>
    <t>(število ur)</t>
  </si>
  <si>
    <t>(odstotek zaposlitve)</t>
  </si>
  <si>
    <t>(izpolnite le v primeru brezposelnosti)</t>
  </si>
  <si>
    <t>za program</t>
  </si>
  <si>
    <t>URNIK DELA NA OSEBO</t>
  </si>
  <si>
    <t>PONEDELJEK</t>
  </si>
  <si>
    <t>TOREK</t>
  </si>
  <si>
    <t>SREDA</t>
  </si>
  <si>
    <t>ČETRTEK</t>
  </si>
  <si>
    <t>PETEK</t>
  </si>
  <si>
    <t>1. ura</t>
  </si>
  <si>
    <t>2. ura</t>
  </si>
  <si>
    <t>3. ura</t>
  </si>
  <si>
    <t>4. ura</t>
  </si>
  <si>
    <t>5. ura</t>
  </si>
  <si>
    <t>6. ura</t>
  </si>
  <si>
    <t>7. ura</t>
  </si>
  <si>
    <t>8. ura</t>
  </si>
  <si>
    <t>9. ura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</si>
  <si>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</si>
  <si>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</si>
  <si>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</si>
  <si>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</si>
  <si>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</si>
  <si>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</si>
  <si>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</si>
  <si>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</si>
  <si>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</si>
  <si>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</t>
  </si>
  <si>
    <t>1.2</t>
  </si>
  <si>
    <t>2.3</t>
  </si>
  <si>
    <t>3.4</t>
  </si>
  <si>
    <t>4.5</t>
  </si>
  <si>
    <t>5.6</t>
  </si>
  <si>
    <t>6.7</t>
  </si>
  <si>
    <t>7.8</t>
  </si>
  <si>
    <t>8.9</t>
  </si>
  <si>
    <t>1.2.3</t>
  </si>
  <si>
    <t>4.5.6</t>
  </si>
  <si>
    <t>7.8.9</t>
  </si>
  <si>
    <t>V polja se vpisuje število otrok vključenih v posamezno vadbeno skupino. Vadbena skupina mora imeti najmanj 15 in največ 30 otrok. Če je otrok več kot 30 se lahko oblikuje</t>
  </si>
  <si>
    <t>1. URA</t>
  </si>
  <si>
    <t>2. URA</t>
  </si>
  <si>
    <t>3. URA</t>
  </si>
  <si>
    <t>1.-3.</t>
  </si>
  <si>
    <t>4.-6.</t>
  </si>
  <si>
    <t>7.-9.</t>
  </si>
  <si>
    <t>1.-9.</t>
  </si>
  <si>
    <t>1</t>
  </si>
  <si>
    <t>5</t>
  </si>
  <si>
    <t>Pravilnost vpisa razredov v urnik</t>
  </si>
  <si>
    <t>2</t>
  </si>
  <si>
    <t>3</t>
  </si>
  <si>
    <t>4</t>
  </si>
  <si>
    <t>6</t>
  </si>
  <si>
    <t>7</t>
  </si>
  <si>
    <t>8</t>
  </si>
  <si>
    <t>9</t>
  </si>
  <si>
    <t>Združitvena vrstica</t>
  </si>
  <si>
    <t>od</t>
  </si>
  <si>
    <t>do</t>
  </si>
  <si>
    <t>*</t>
  </si>
  <si>
    <t>Število vseh vpisov v stolpec urnika</t>
  </si>
  <si>
    <t xml:space="preserve"> 1.2</t>
  </si>
  <si>
    <t xml:space="preserve"> 1.2.3</t>
  </si>
  <si>
    <t xml:space="preserve"> 2.3</t>
  </si>
  <si>
    <t xml:space="preserve"> 3.4</t>
  </si>
  <si>
    <t xml:space="preserve"> 4.5</t>
  </si>
  <si>
    <t xml:space="preserve"> 4.5.6</t>
  </si>
  <si>
    <t xml:space="preserve"> 5.6</t>
  </si>
  <si>
    <t xml:space="preserve"> 6.7</t>
  </si>
  <si>
    <t xml:space="preserve"> 7.8</t>
  </si>
  <si>
    <t xml:space="preserve"> 7.8.9</t>
  </si>
  <si>
    <t xml:space="preserve"> 8.9</t>
  </si>
  <si>
    <t xml:space="preserve">     do</t>
  </si>
  <si>
    <t>Razponi za oblikovanje skupin znotraj posameznih razredov:</t>
  </si>
  <si>
    <t>MIN.ŠT.UR</t>
  </si>
  <si>
    <t>NA TEDEN</t>
  </si>
  <si>
    <t>MAKS.ŠT.UR</t>
  </si>
  <si>
    <r>
      <t>VEDNO SE NAJPREJ OBLIKUJE SKUPINO</t>
    </r>
    <r>
      <rPr>
        <b/>
        <sz val="9"/>
        <color indexed="8"/>
        <rFont val="Calibri"/>
        <family val="2"/>
      </rPr>
      <t xml:space="preserve"> A</t>
    </r>
    <r>
      <rPr>
        <sz val="9"/>
        <color indexed="8"/>
        <rFont val="Calibri"/>
        <family val="2"/>
      </rPr>
      <t xml:space="preserve">. ČE JE OTROK VEČ KOT ZA ENO SKUPINO SE POLEG SKUPINE A OBLIKUJEJO ŠE SKUPINE </t>
    </r>
    <r>
      <rPr>
        <b/>
        <sz val="9"/>
        <color indexed="8"/>
        <rFont val="Calibri"/>
        <family val="2"/>
      </rPr>
      <t>B</t>
    </r>
    <r>
      <rPr>
        <sz val="9"/>
        <color indexed="8"/>
        <rFont val="Calibri"/>
        <family val="2"/>
      </rPr>
      <t xml:space="preserve">, </t>
    </r>
    <r>
      <rPr>
        <b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, </t>
    </r>
    <r>
      <rPr>
        <b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, … .</t>
    </r>
  </si>
  <si>
    <t>Število tednov vadbe:</t>
  </si>
  <si>
    <t>(vpišite: VI, VII/1, VII/2)</t>
  </si>
  <si>
    <t>(Vpišite: brez, mentor, svetovalec, svetnik)</t>
  </si>
  <si>
    <t>DOVOLJEN RAZPON UR PO RAZREDIH GLEDE NA ŠTEVILO VADBENIH SKUPIN (OBRAZEC 5)</t>
  </si>
  <si>
    <t>SKUPAJ UR PO RAZREDIH NA TEDEN IN PRIMERJAVA Z DOVOLJENIM RAZPONOM</t>
  </si>
  <si>
    <t>SKUPAJ UR NA TEDEN</t>
  </si>
  <si>
    <t>SKUPAJ UR NA LETO</t>
  </si>
  <si>
    <t>(Vpišite DA ali NE)</t>
  </si>
  <si>
    <t>(% športnih panog v občini)</t>
  </si>
  <si>
    <t>športnih društev iz različnih športnih panog, kar predstavlja</t>
  </si>
  <si>
    <t>športnih panog, ki so zastopane v občini,</t>
  </si>
  <si>
    <t>Vadbene skupine se v polja vpisuje tako, da se najprej vpiše številko razreda in nato doda črko skupine (obrazec 5). Primer 1A, 1.2A, 1.2.3A, 4A, … . Ker obrazec predstavlja tedenski urnik posameznega strokovnega delavca, je lahko v posameznem dnevu pod</t>
  </si>
  <si>
    <t>Podpis pooblaščene osebe občine:</t>
  </si>
  <si>
    <t>Strokovni delavec:</t>
  </si>
  <si>
    <t>Podpis odgovorne osebe občine:</t>
  </si>
  <si>
    <t>Podpis odgovorne osebe šole:</t>
  </si>
  <si>
    <t>Korekcija</t>
  </si>
  <si>
    <t>0 - 10</t>
  </si>
  <si>
    <t>Zaposlitveni status strokovnega delavca:</t>
  </si>
  <si>
    <r>
      <t>VEDNO SE NAJPREJ OBLIKUJE SKUPINO</t>
    </r>
    <r>
      <rPr>
        <b/>
        <sz val="9"/>
        <rFont val="Calibri"/>
        <family val="2"/>
      </rPr>
      <t xml:space="preserve"> A</t>
    </r>
    <r>
      <rPr>
        <sz val="9"/>
        <rFont val="Calibri"/>
        <family val="2"/>
      </rPr>
      <t xml:space="preserve">. ČE JE OTROK VEČ KOT ZA ENO SKUPINO SE POLEG SKUPINE A OBLIKUJEJO ŠE SKUPINE </t>
    </r>
    <r>
      <rPr>
        <b/>
        <sz val="9"/>
        <rFont val="Calibri"/>
        <family val="2"/>
      </rPr>
      <t>B</t>
    </r>
    <r>
      <rPr>
        <sz val="9"/>
        <rFont val="Calibri"/>
        <family val="2"/>
      </rPr>
      <t xml:space="preserve">, </t>
    </r>
    <r>
      <rPr>
        <b/>
        <sz val="9"/>
        <rFont val="Calibri"/>
        <family val="2"/>
      </rPr>
      <t>C</t>
    </r>
    <r>
      <rPr>
        <sz val="9"/>
        <rFont val="Calibri"/>
        <family val="2"/>
      </rPr>
      <t xml:space="preserve">, </t>
    </r>
    <r>
      <rPr>
        <b/>
        <sz val="9"/>
        <rFont val="Calibri"/>
        <family val="2"/>
      </rPr>
      <t>D</t>
    </r>
    <r>
      <rPr>
        <sz val="9"/>
        <rFont val="Calibri"/>
        <family val="2"/>
      </rPr>
      <t>, … .</t>
    </r>
  </si>
  <si>
    <t>skupina 1.2A, 1.2B, ... .</t>
  </si>
  <si>
    <t xml:space="preserve">določeno uro vpisana samo ena (1) skupina. Skupine sestavljene iz več razredov se v urnik vpisuje pod tisti razred, ki je kot prvi naveden pri oznaki sestavljene skupine. Sestavljena skupina 1.2.3A se v urniku vpiše pod razred 1, prav tako tudi sestavljena </t>
  </si>
  <si>
    <t>2.URA</t>
  </si>
  <si>
    <t>1. RAZRED</t>
  </si>
  <si>
    <t>2. RAZRED</t>
  </si>
  <si>
    <t>3. RAZRED</t>
  </si>
  <si>
    <t>6. RAZRED</t>
  </si>
  <si>
    <t>4. RAZRED</t>
  </si>
  <si>
    <t>5. RAZRED</t>
  </si>
  <si>
    <t>7. RAZRED</t>
  </si>
  <si>
    <t>8. RAZRED</t>
  </si>
  <si>
    <t>9. RAZRED</t>
  </si>
  <si>
    <t>V polja tabele se vpisuje številke panog iz seznama športnih panog navedenega pod tabelo.</t>
  </si>
  <si>
    <t>skupine vpisujejo v zadnje tri vrstice tabele.</t>
  </si>
  <si>
    <r>
      <t>VADBENE SKUPINE (</t>
    </r>
    <r>
      <rPr>
        <b/>
        <sz val="9"/>
        <color indexed="8"/>
        <rFont val="Calibri"/>
        <family val="2"/>
      </rPr>
      <t>izpolni se samo, če so oblikovane samostojne skupine otrok s posebnimi potrebami</t>
    </r>
    <r>
      <rPr>
        <sz val="10"/>
        <color indexed="8"/>
        <rFont val="Calibri"/>
        <family val="2"/>
      </rPr>
      <t>)</t>
    </r>
  </si>
  <si>
    <r>
      <t xml:space="preserve">V polja se vpisuje število otrok vključenih v posamezno vadbeno skupino. Vadbena skupina mora biti oblikovana skladno z normativi, ki veljajo za </t>
    </r>
    <r>
      <rPr>
        <b/>
        <sz val="9"/>
        <color indexed="8"/>
        <rFont val="Calibri"/>
        <family val="2"/>
      </rPr>
      <t>skupine otrok s posebnimi</t>
    </r>
    <r>
      <rPr>
        <sz val="9"/>
        <color indexed="8"/>
        <rFont val="Calibri"/>
        <family val="2"/>
      </rPr>
      <t xml:space="preserve"> </t>
    </r>
  </si>
  <si>
    <r>
      <rPr>
        <b/>
        <sz val="9"/>
        <color indexed="8"/>
        <rFont val="Calibri"/>
        <family val="2"/>
      </rPr>
      <t>potrebami</t>
    </r>
    <r>
      <rPr>
        <sz val="9"/>
        <color indexed="8"/>
        <rFont val="Calibri"/>
        <family val="2"/>
      </rPr>
      <t>. Če je otrok znotraj posameznega razreda, za oblikovanje ene vadbene skupine, premalo se lahko oblikuje vadbeno skupino iz otrok dveh zaporednih razredov. V</t>
    </r>
  </si>
  <si>
    <t>tem primeru se število otrok vpisuje v polja kombiniranih razredov. Manjše šole lahko v skupine združujejo tudi otroke iz treh zaporednih razredov. V tem primeru vadbene</t>
  </si>
  <si>
    <t>več vadbenih skupin, s približno enakim številom otrok skladno s spodnjo tabelo razponov za oblikovanje skupin. Če je otrok znotraj posameznega razreda, za oblikovanje ene</t>
  </si>
  <si>
    <t xml:space="preserve">KOREKTIVNE VSEBINE </t>
  </si>
  <si>
    <t>PREDSTAVITEV URBANIH ŠPORTOV</t>
  </si>
  <si>
    <t>TEORETIČNE VSEBINE O ZDRAVEM</t>
  </si>
  <si>
    <t>NAČINU ŽIVLJENJA</t>
  </si>
  <si>
    <t>VADBENA ENOTA</t>
  </si>
  <si>
    <t>Št. ur</t>
  </si>
  <si>
    <t>V obrazec vnesi število ur trajanja aktivnosti na dan</t>
  </si>
  <si>
    <t>V obrazec vnesi vsebino dejavnosti iz spodnjega šifranta panog (možno vnesti več panog na dan)</t>
  </si>
  <si>
    <t>Podpis strokovnega delavca</t>
  </si>
  <si>
    <t>Podpis pooblaščene osebe občine</t>
  </si>
  <si>
    <t>Izpolni prijavitelj</t>
  </si>
  <si>
    <t>OZNAKA</t>
  </si>
  <si>
    <t>SKUPINE</t>
  </si>
  <si>
    <t>ČLEN</t>
  </si>
  <si>
    <t>PRAV.</t>
  </si>
  <si>
    <t>V polja ČLEN PRAV. se vpiše člen iz Pravilnika o normativih in standardih za izvajanje vzgojno - izobraževalnih programov za otroke s posebnimi potrebami na osnovi katerih so bile oblikovane</t>
  </si>
  <si>
    <t>skupine (členi od 30. do 43., ter 48. in 49.). Člene morate v tabelo pisati s številko in piko npr. 30. .</t>
  </si>
  <si>
    <t>SOBOTA</t>
  </si>
  <si>
    <t>VSEBINA</t>
  </si>
  <si>
    <t xml:space="preserve"> SKUPAJ</t>
  </si>
  <si>
    <t>KOREKTIVNE VSEBINE</t>
  </si>
  <si>
    <t>Jesenske počitnice</t>
  </si>
  <si>
    <t>Novoletne počitnice</t>
  </si>
  <si>
    <t>Zimske počitnice</t>
  </si>
  <si>
    <t>Prvomajske počitnice</t>
  </si>
  <si>
    <t>Poletne počitnice 1.teden</t>
  </si>
  <si>
    <t>Poletne počitnice 2.teden</t>
  </si>
  <si>
    <t>Poletne počitnice 3.teden</t>
  </si>
  <si>
    <t>Poletne počitnice 4.teden</t>
  </si>
  <si>
    <t>Poletne počitnice 5.teden</t>
  </si>
  <si>
    <t>Poletne počitnice 6.teden</t>
  </si>
  <si>
    <t>Poletne počitnice 7.teden</t>
  </si>
  <si>
    <t>Poletne počitnice 8.teden</t>
  </si>
  <si>
    <t xml:space="preserve">TEORETIČNE VSEBINE O ZDRAVEM </t>
  </si>
  <si>
    <t>OBRAZEC ZA AKTIVNOSTI OB SOBOTAH</t>
  </si>
  <si>
    <t>VI</t>
  </si>
  <si>
    <t>BREZ</t>
  </si>
  <si>
    <t>MENTOR</t>
  </si>
  <si>
    <t>VII/1</t>
  </si>
  <si>
    <t>SVETOVALEC</t>
  </si>
  <si>
    <t>VII/2</t>
  </si>
  <si>
    <t>SVETNIK</t>
  </si>
  <si>
    <t>OBRAZEC ZA POČITNIŠKO AKTIVNOST</t>
  </si>
  <si>
    <t xml:space="preserve">bo prijavitelj zaposlil strokovnega delavca </t>
  </si>
  <si>
    <t>(ime in prrimek strokovnega delavca)</t>
  </si>
  <si>
    <t>ki bo nadziral realizacijo</t>
  </si>
  <si>
    <t>(ime in priimek osebe)</t>
  </si>
  <si>
    <t xml:space="preserve">      1.</t>
  </si>
  <si>
    <t xml:space="preserve">      2.</t>
  </si>
  <si>
    <t xml:space="preserve">      3.</t>
  </si>
  <si>
    <t xml:space="preserve">      4.</t>
  </si>
  <si>
    <t>poskrbeli za nemoteno izvedbo predhodno načrtovanega  programa, s katerim smo kandidirali na razpisu.</t>
  </si>
  <si>
    <t>(naziv, naslov delodajalca in odgovorna oseba)</t>
  </si>
  <si>
    <t>VADBENE SKUPINE MATIČNE ŠOLE</t>
  </si>
  <si>
    <t>DOVOLJEN RAZPON UR PO RAZREDIH GLEDE NA ŠTEVILO VADBENIH SKUPIN (OBRAZEC 5 - OŠPP)</t>
  </si>
  <si>
    <t>Podpis odgovorne osebe prijavitelja:</t>
  </si>
  <si>
    <t>PREDST. URBANIH ŠPORTOV</t>
  </si>
  <si>
    <t>ZDRAVEM NAČINU ŽIVLJENJA</t>
  </si>
  <si>
    <t>TEORETIČNE VSEBINE O</t>
  </si>
  <si>
    <t>Podpis odgovorne osebe prijavitelja</t>
  </si>
  <si>
    <t>,</t>
  </si>
  <si>
    <r>
      <rPr>
        <b/>
        <sz val="12"/>
        <color indexed="8"/>
        <rFont val="Calibri"/>
        <family val="2"/>
      </rPr>
      <t>Dosedanje izvajanje programa ZŽS</t>
    </r>
    <r>
      <rPr>
        <sz val="12"/>
        <color indexed="8"/>
        <rFont val="Calibri"/>
        <family val="2"/>
      </rPr>
      <t>:</t>
    </r>
    <r>
      <rPr>
        <i/>
        <sz val="12"/>
        <color indexed="8"/>
        <rFont val="Calibri"/>
        <family val="2"/>
      </rPr>
      <t xml:space="preserve"> </t>
    </r>
  </si>
  <si>
    <t>0 ali 10</t>
  </si>
  <si>
    <t>0 - 15</t>
  </si>
  <si>
    <t>0 - 40</t>
  </si>
  <si>
    <t xml:space="preserve">      5.</t>
  </si>
  <si>
    <t>(vpišite: DA ali NE)</t>
  </si>
  <si>
    <t xml:space="preserve">      6.</t>
  </si>
  <si>
    <t>(datum objave razpisa v Ur.l.RS)</t>
  </si>
  <si>
    <t>bo v programu sodelovalo</t>
  </si>
  <si>
    <t>bo prijavitelj programa določil osebo</t>
  </si>
  <si>
    <t>na razpisu prijavljenega programa in skrbel za ustrezna poročila,</t>
  </si>
  <si>
    <t xml:space="preserve">S podpisi zagotavljamo, da bomo v primeru uspešnosti našega programa na razpisu sodelovali v programu in </t>
  </si>
  <si>
    <t>Žig in podpis odgovorne osebe prijavitelja :</t>
  </si>
  <si>
    <t>športnih objektih zagotovila prostorske možnosti za izvedbo prijavljenega programa v času pouka od 12 do</t>
  </si>
  <si>
    <t>Obrazec izpolni kandidat za strokovnega delavca</t>
  </si>
  <si>
    <t>(ime in priimek kandidata za strokovnega delavca)</t>
  </si>
  <si>
    <t>(beseda prijavitelj se nanaša na organizacijo - OŠ, zavod, društvo, ...)</t>
  </si>
  <si>
    <t>Žig in podpis prijavitelja:</t>
  </si>
  <si>
    <t xml:space="preserve">Žig in podpis odgovorne osebe osnovne šole na kateri se bo program izvajal: </t>
  </si>
  <si>
    <t>(priložite kopijo odločbe)</t>
  </si>
  <si>
    <r>
      <t xml:space="preserve">imam potrebno strokovno izobrazbo </t>
    </r>
    <r>
      <rPr>
        <i/>
        <sz val="9"/>
        <color indexed="8"/>
        <rFont val="Calibri"/>
        <family val="2"/>
      </rPr>
      <t>(priložite kopijo diplome)</t>
    </r>
  </si>
  <si>
    <t>osnovna šola:</t>
  </si>
  <si>
    <t xml:space="preserve">Žig in podpis odgovorne osebe osnovne šole, na kateri se izvaja program: </t>
  </si>
  <si>
    <t xml:space="preserve">Žig in podpis odgovorne osebe osnovne šole na kateri se izvaja program: </t>
  </si>
  <si>
    <t>VADBENE SKUPINE MATIČNE / PODRUŽNIČNE ŠOLE</t>
  </si>
  <si>
    <t>je na šoli/ah, kjer se bo program izvajal, vpisanih</t>
  </si>
  <si>
    <t>učencev,</t>
  </si>
  <si>
    <t>ŠT. TEDNOV</t>
  </si>
  <si>
    <t>ŠT. UR</t>
  </si>
  <si>
    <t>ODSTOTEK</t>
  </si>
  <si>
    <t xml:space="preserve">ŠT. UR </t>
  </si>
  <si>
    <t>BOLEZNINE</t>
  </si>
  <si>
    <t>DOPUST</t>
  </si>
  <si>
    <t>PRAZNIKI</t>
  </si>
  <si>
    <t>ŠT. UR V</t>
  </si>
  <si>
    <t>NA LETO</t>
  </si>
  <si>
    <t>DEL. ČASA</t>
  </si>
  <si>
    <t>PROGRAMU</t>
  </si>
  <si>
    <t xml:space="preserve"> % delovne obveznosti oziroma zaposlitev za</t>
  </si>
  <si>
    <t>številko panoge iz seznama športnih panog.</t>
  </si>
  <si>
    <t>V spodnjo tabelo vnesi podatke o programu, če poteka ob sobotah. V prvo kolono vnesite število ur vadbe. V drugo kolono vnesite zaporedno</t>
  </si>
  <si>
    <t>ŠT. UR V PROGRAMU</t>
  </si>
  <si>
    <t>DELEŽ ZAPOSLITVE V URAH NA TEDEN</t>
  </si>
  <si>
    <t>DELEŽ ZAPOSLITVE V ODSTOTKIH</t>
  </si>
  <si>
    <t>prijavitelj je OŠ:</t>
  </si>
  <si>
    <t>(vpišite DA oz. NE)</t>
  </si>
  <si>
    <r>
      <t xml:space="preserve">sem zaposlen, </t>
    </r>
    <r>
      <rPr>
        <b/>
        <sz val="11"/>
        <color indexed="8"/>
        <rFont val="Calibri"/>
        <family val="2"/>
      </rPr>
      <t>ne upoštevaje</t>
    </r>
    <r>
      <rPr>
        <sz val="11"/>
        <color indexed="8"/>
        <rFont val="Calibri"/>
        <family val="2"/>
      </rPr>
      <t xml:space="preserve"> program </t>
    </r>
    <r>
      <rPr>
        <b/>
        <sz val="11"/>
        <color indexed="8"/>
        <rFont val="Calibri"/>
        <family val="2"/>
      </rPr>
      <t>Zdrav življenski slog</t>
    </r>
    <r>
      <rPr>
        <sz val="11"/>
        <color indexed="8"/>
        <rFont val="Calibri"/>
        <family val="2"/>
      </rPr>
      <t>, pri :</t>
    </r>
  </si>
  <si>
    <t>ur v programu.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</si>
  <si>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(vpišite naziv podružnice)</t>
  </si>
  <si>
    <t>SKUPINE IZ OBRAZCA 4 SE V OBRAZCU 4a NE SMEJO PONOVITI. ČE STE V OBRAZCU 4 OBLIKOVALI SKUPNO 1A, POTEM V TEJ TABELI OBLIKUJTE SKUPINE OD 1B DALJE.</t>
  </si>
  <si>
    <t>SKUPINE IZ OBRAZCA 4 IN 4a SE V OBRAZCU 4b NE SMEJO PONOVITI. ČE STE V OBRAZCU 4 IN 4a OBLIKOVALI SKUPNi 1A IN 1B, POTEM V TEJ TABELI OBLIKUJTE SKUPINE OD 1C DALJE.</t>
  </si>
  <si>
    <t>Prijavitelj:</t>
  </si>
  <si>
    <t>program se izvaja od 1. do vključno 9. razreda</t>
  </si>
  <si>
    <r>
      <t xml:space="preserve">program vsebuje vsebine za </t>
    </r>
    <r>
      <rPr>
        <sz val="12"/>
        <color indexed="8"/>
        <rFont val="Calibri"/>
        <family val="2"/>
      </rPr>
      <t>odpravljanje posledic negativnih vplivov sodobnega načina življenja</t>
    </r>
  </si>
  <si>
    <t>sodelovanje prijavitelja pri programu:</t>
  </si>
  <si>
    <t>prijavitelj bo pri programu sodeloval z več kot 80 % ali vsaj 8 športnimi društvi različnih športnih panog v občini na posamezni šoli</t>
  </si>
  <si>
    <t>prijavitelj bo pri programu sodeloval z več kot 60 % ali vsaj 6 športnimi društvi različnih športnih panog v občini na posamezni šoli</t>
  </si>
  <si>
    <t>prijavitelj bo pri programu sodeloval z več kot 40 % ali vsaj 4 športnimi društvi različnih športnih panog v občini na posamezni šoli</t>
  </si>
  <si>
    <t>prijavitelj bo pri programu sodeloval z manj kot 40 % ali 3 športnimi društvi različnih športnih panog v občini na posamezni šoli</t>
  </si>
  <si>
    <t xml:space="preserve">Obseg programa:                                                                </t>
  </si>
  <si>
    <t>Celovitost programa:</t>
  </si>
  <si>
    <r>
      <rPr>
        <b/>
        <sz val="12"/>
        <color indexed="8"/>
        <rFont val="Calibri"/>
        <family val="2"/>
      </rPr>
      <t>Vključenost učencev v program</t>
    </r>
    <r>
      <rPr>
        <sz val="12"/>
        <color indexed="8"/>
        <rFont val="Calibri"/>
        <family val="2"/>
      </rPr>
      <t>:</t>
    </r>
    <r>
      <rPr>
        <i/>
        <sz val="12"/>
        <color indexed="8"/>
        <rFont val="Calibri"/>
        <family val="2"/>
      </rPr>
      <t xml:space="preserve"> </t>
    </r>
  </si>
  <si>
    <t>Žig in podpis župana ali s strani župana pooblaščene osebe za izvajanje športa v občini v kateri se program izvaja:</t>
  </si>
  <si>
    <t xml:space="preserve">občino: </t>
  </si>
  <si>
    <t>Žig in podpis župana ali s strani župana pooblaščene osebe za področje športa v občini v kateri se program izvaja:</t>
  </si>
  <si>
    <t>(vpišite % zaposlitve)</t>
  </si>
  <si>
    <t>na leto</t>
  </si>
  <si>
    <t>V polja OZNAKA SKUPINE se vpisuje oznako skupine iz zavihka obrazec 4 - OŠPP in sicer tako, da se najprej vpiše številko iz vrstice in nato črko iz stolpca npr. 1A, 1B, 1.2A, 1.2B, 4.5.6A, … .</t>
  </si>
  <si>
    <t>procent vključenih otrok glede na število učencev na šoli</t>
  </si>
  <si>
    <t>kazensko in odškodninsko odgovornostjo izjavljamo, da:</t>
  </si>
  <si>
    <t>zagotavljal nemoten potek programa,</t>
  </si>
  <si>
    <t>brezposeln ali prva zaposlitev ali zaposlitev le za izvajanje vsebin ZŽS</t>
  </si>
  <si>
    <t>trenutna delovna obveznost (ne za izvajanje vsebin ZŽS) do 50 %</t>
  </si>
  <si>
    <t>trenutna delovna obveznost (ne za izvajanje vsebin ZŽS) nad 50 % do 60 %</t>
  </si>
  <si>
    <t>trenutna delovna obveznost (ne za izvajanje vsebin ZŽS) nad 60 % do 70 %</t>
  </si>
  <si>
    <t>trenutna delovna obveznost (ne za izvajanje vsebin ZŽS) nad 70 % do 80 %</t>
  </si>
  <si>
    <t>trenutna delovna obveznost (ne za izvajanje vsebin ZŽS) nad 80 %</t>
  </si>
  <si>
    <t>prilagojene vsebine za učence, ki tvegajo socialno izključenost</t>
  </si>
  <si>
    <t>od 650 do 723 ur programa</t>
  </si>
  <si>
    <t xml:space="preserve">od 578 do 649 ur programa </t>
  </si>
  <si>
    <t>od 435 do 577 ur programa</t>
  </si>
  <si>
    <t>od 145 do 434 ur programa</t>
  </si>
  <si>
    <t>manj kot 145 ur programa</t>
  </si>
  <si>
    <t>ur programa, kar predstavlja</t>
  </si>
  <si>
    <r>
      <t xml:space="preserve">Za izvajanje vsebin </t>
    </r>
    <r>
      <rPr>
        <sz val="10"/>
        <color indexed="8"/>
        <rFont val="Calibri"/>
        <family val="2"/>
      </rPr>
      <t>ZŽS</t>
    </r>
    <r>
      <rPr>
        <sz val="11"/>
        <color theme="1"/>
        <rFont val="Calibri"/>
        <family val="2"/>
      </rPr>
      <t xml:space="preserve"> sem zaposlen v deležu</t>
    </r>
  </si>
  <si>
    <t xml:space="preserve"> V program so vključeni tudi otroci, ki tvegajo socialno izključenost:</t>
  </si>
  <si>
    <t>Izpolni prijavitelj:</t>
  </si>
  <si>
    <t>Naziv:</t>
  </si>
  <si>
    <t>Naslov:</t>
  </si>
  <si>
    <t>Odgovorna oseba:</t>
  </si>
  <si>
    <t>e-pošta odgovorne osebe:</t>
  </si>
  <si>
    <t>TRR:</t>
  </si>
  <si>
    <t>Matična številka:</t>
  </si>
  <si>
    <t>Davčna številka:</t>
  </si>
  <si>
    <t>Izpolni strokovni delavec:</t>
  </si>
  <si>
    <t>Ime in priimek:</t>
  </si>
  <si>
    <t>e-pošta:</t>
  </si>
  <si>
    <t>Število točk</t>
  </si>
  <si>
    <t>Pavšal</t>
  </si>
  <si>
    <t>splošna e-pošta:</t>
  </si>
  <si>
    <t>Število ur programa</t>
  </si>
  <si>
    <t>Vrednost programa</t>
  </si>
  <si>
    <t>Število ur zaposlitve</t>
  </si>
  <si>
    <t>Povzetek podatkov:</t>
  </si>
  <si>
    <t>OSNOVNI PODATKI PRIJAVITELJA (ustrezno dopolniti)</t>
  </si>
  <si>
    <t>0 - 25</t>
  </si>
  <si>
    <t>5 ali 10</t>
  </si>
  <si>
    <t>Obrazec je potrebno izpolniti. Ni pa potrebno obrazca priložiti k fizični prijavi.</t>
  </si>
  <si>
    <r>
      <t>Podatki o programu (</t>
    </r>
    <r>
      <rPr>
        <i/>
        <sz val="10"/>
        <color indexed="8"/>
        <rFont val="Calibri"/>
        <family val="2"/>
      </rPr>
      <t>tega dela ni potrebno izpolniti)</t>
    </r>
    <r>
      <rPr>
        <i/>
        <sz val="11"/>
        <color indexed="8"/>
        <rFont val="Calibri"/>
        <family val="2"/>
      </rPr>
      <t>:</t>
    </r>
  </si>
  <si>
    <t>vadbene skupine, premalo se lahko oblikuje vadbeno skupino iz otrok dveh zaporednih razredov. V tem primeru se število otrok vpisuje v polja kombiniranih razredov. Šole</t>
  </si>
  <si>
    <t>lahko v skupine združujejo tudi otroke iz treh zaporednih razredov. V tem primeru vadbene skupine vpisujejo v zadnje tri vrstice tabele.</t>
  </si>
  <si>
    <r>
      <t xml:space="preserve">da sem zaposlen </t>
    </r>
    <r>
      <rPr>
        <b/>
        <i/>
        <sz val="11"/>
        <color indexed="8"/>
        <rFont val="Calibri"/>
        <family val="2"/>
      </rPr>
      <t>samo</t>
    </r>
    <r>
      <rPr>
        <sz val="11"/>
        <color indexed="8"/>
        <rFont val="Calibri"/>
        <family val="2"/>
      </rPr>
      <t xml:space="preserve"> za izvajanje vsebin ZŽS</t>
    </r>
  </si>
  <si>
    <t>(vpišite DA ali NE)</t>
  </si>
  <si>
    <t>Program ZŽS je potekal decembra 2015:</t>
  </si>
  <si>
    <t>Program ZŽS je potekal januarja 2016:</t>
  </si>
  <si>
    <t>Program ZŽS je potekal februarja 2016:</t>
  </si>
  <si>
    <t xml:space="preserve">, ki bo v šolskem letu izvedel </t>
  </si>
  <si>
    <r>
      <rPr>
        <b/>
        <sz val="10"/>
        <color indexed="8"/>
        <rFont val="Calibri"/>
        <family val="2"/>
      </rPr>
      <t xml:space="preserve">Regija </t>
    </r>
    <r>
      <rPr>
        <sz val="10"/>
        <color indexed="8"/>
        <rFont val="Calibri"/>
        <family val="2"/>
      </rPr>
      <t>(osrednjeslovenska, gorenjska, goriška in obalno-kraška, pomurska,  podravska, koroška, savinjska, zasavska,  spodnjeposavska, jugovzhodna Slovenija, notranjsko-kraška)</t>
    </r>
  </si>
  <si>
    <t>Vključeni razredi (od 1 do 9)</t>
  </si>
  <si>
    <t>(Največ 35 tednov vadbe)</t>
  </si>
  <si>
    <t>ne</t>
  </si>
  <si>
    <t xml:space="preserve">Sklepa SPORAZUM O SODELOVANJU V PROGRAMU »ZDRAV ŽIVLJENJSKI SLOG 2017-2018« z </t>
  </si>
  <si>
    <t>prijavitelj je izvajal program ZŽS kadarkoli v obdobju 2010-2017</t>
  </si>
  <si>
    <t>Obrazec izpolni prijavitelj v primeru, da se program Zdrav življenjski slog 2017-2018 izvaja na več matičnih osnovnih šolah</t>
  </si>
  <si>
    <t>v programu Zdrav življenjski slog 2017-2018 opravil:</t>
  </si>
  <si>
    <t>in, da bomo v primeru odsotnosti strokovnega delavca zagotovili nemoten potek programa ZŽS 2017-2018.</t>
  </si>
  <si>
    <r>
      <t>prijavitelj je izvajal program ZŽS kadarkoli v obdobju 2010-</t>
    </r>
    <r>
      <rPr>
        <sz val="12"/>
        <rFont val="Calibri"/>
        <family val="2"/>
      </rPr>
      <t>2017</t>
    </r>
  </si>
  <si>
    <t>(izpolnite le v primeru, da ste zaposleni - tu ne vpisujte zaposlitve v programu ZŽS 2017-2018)</t>
  </si>
  <si>
    <t xml:space="preserve">, za program »Zdrav življenjski slog 2017-2018« pod </t>
  </si>
  <si>
    <t>17 ure (redna vadba po urniku ZŽS 2017-2018) in v pouka prostih dnevih (sobotna in počitniška vadba),</t>
  </si>
  <si>
    <t xml:space="preserve"> ur na teden v programu ZŽS 2017-2018 in</t>
  </si>
  <si>
    <t>občina priznava program ZŽS 2017-2018, kot program javnega interesa.</t>
  </si>
  <si>
    <t>Zdrav življenjski slog 2017-2018 pod kazensko in odškodninsko odgovornostjo izjavljam, da:</t>
  </si>
  <si>
    <t>Poštna številka in pošta:</t>
  </si>
  <si>
    <t>poštna številka in pošta: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</si>
</sst>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name val="Consolas"/>
      <family val="3"/>
    </font>
    <font>
      <sz val="7"/>
      <name val="Consolas"/>
      <family val="3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name val="Lucida Grande"/>
      <family val="0"/>
    </font>
    <font>
      <b/>
      <sz val="9"/>
      <name val="Lucida Grande"/>
      <family val="0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9"/>
      <color indexed="9"/>
      <name val="Calibri"/>
      <family val="2"/>
    </font>
    <font>
      <sz val="9"/>
      <color indexed="3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0"/>
      <color indexed="8"/>
      <name val="Verdana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sz val="8"/>
      <color indexed="3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60"/>
      <name val="Calibri"/>
      <family val="2"/>
    </font>
    <font>
      <sz val="7"/>
      <color indexed="9"/>
      <name val="Consolas"/>
      <family val="3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6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10"/>
      <name val="Calibri"/>
      <family val="2"/>
    </font>
    <font>
      <b/>
      <sz val="14"/>
      <color indexed="8"/>
      <name val="Calibri"/>
      <family val="2"/>
    </font>
    <font>
      <i/>
      <sz val="7"/>
      <color indexed="8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rgb="FF0070C0"/>
      <name val="Calibri"/>
      <family val="2"/>
    </font>
    <font>
      <sz val="9"/>
      <color theme="1" tint="0.34999001026153564"/>
      <name val="Calibri"/>
      <family val="2"/>
    </font>
    <font>
      <b/>
      <sz val="9"/>
      <color theme="1" tint="0.34999001026153564"/>
      <name val="Calibri"/>
      <family val="2"/>
    </font>
    <font>
      <b/>
      <sz val="10"/>
      <color theme="1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Verdana"/>
      <family val="2"/>
    </font>
    <font>
      <i/>
      <sz val="8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7"/>
      <color theme="1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sz val="8"/>
      <color rgb="FF0070C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0" tint="-0.3499799966812134"/>
      <name val="Calibri"/>
      <family val="2"/>
    </font>
    <font>
      <i/>
      <sz val="8"/>
      <color rgb="FF000000"/>
      <name val="Calibri"/>
      <family val="2"/>
    </font>
    <font>
      <sz val="8"/>
      <color theme="9" tint="-0.4999699890613556"/>
      <name val="Calibri"/>
      <family val="2"/>
    </font>
    <font>
      <sz val="7"/>
      <color theme="0"/>
      <name val="Consolas"/>
      <family val="3"/>
    </font>
    <font>
      <sz val="8"/>
      <color theme="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0"/>
      <color theme="1"/>
      <name val="Times New Roman"/>
      <family val="1"/>
    </font>
    <font>
      <sz val="6"/>
      <color rgb="FFFF0000"/>
      <name val="Calibri"/>
      <family val="2"/>
    </font>
    <font>
      <b/>
      <sz val="14"/>
      <color theme="1"/>
      <name val="Calibri"/>
      <family val="2"/>
    </font>
    <font>
      <i/>
      <sz val="7"/>
      <color theme="1"/>
      <name val="Calibri"/>
      <family val="2"/>
    </font>
    <font>
      <i/>
      <sz val="10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/>
      <bottom style="thin"/>
    </border>
    <border>
      <left style="hair"/>
      <right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double"/>
      <top style="double"/>
      <bottom/>
    </border>
    <border>
      <left/>
      <right/>
      <top style="medium"/>
      <bottom style="medium"/>
    </border>
    <border>
      <left style="medium"/>
      <right style="double"/>
      <top style="medium"/>
      <bottom style="medium"/>
    </border>
    <border>
      <left/>
      <right style="double"/>
      <top/>
      <bottom/>
    </border>
    <border>
      <left style="medium"/>
      <right style="double"/>
      <top style="thin"/>
      <bottom style="thin"/>
    </border>
    <border>
      <left style="thin"/>
      <right/>
      <top/>
      <bottom style="thin"/>
    </border>
    <border>
      <left style="medium"/>
      <right style="double"/>
      <top/>
      <bottom style="thin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double"/>
      <top/>
      <bottom style="double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 style="thin"/>
    </border>
    <border>
      <left style="hair"/>
      <right style="dashed"/>
      <top style="hair"/>
      <bottom style="hair"/>
    </border>
    <border>
      <left style="hair"/>
      <right style="dashed"/>
      <top style="hair"/>
      <bottom style="thin"/>
    </border>
    <border>
      <left style="dashed"/>
      <right style="hair"/>
      <top style="hair"/>
      <bottom style="hair"/>
    </border>
    <border>
      <left style="dashed"/>
      <right style="hair"/>
      <top style="hair"/>
      <bottom style="thin"/>
    </border>
    <border>
      <left/>
      <right/>
      <top style="hair"/>
      <bottom style="thin"/>
    </border>
    <border>
      <left style="double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/>
    </border>
    <border>
      <left style="hair"/>
      <right/>
      <top style="thin"/>
      <bottom style="hair"/>
    </border>
    <border>
      <left style="double"/>
      <right/>
      <top/>
      <bottom/>
    </border>
    <border>
      <left style="thin"/>
      <right/>
      <top style="double"/>
      <bottom style="medium"/>
    </border>
    <border>
      <left/>
      <right style="medium"/>
      <top style="double"/>
      <bottom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hair"/>
      <bottom style="medium"/>
    </border>
    <border>
      <left style="thin"/>
      <right style="medium"/>
      <top style="thin"/>
      <bottom style="hair"/>
    </border>
    <border>
      <left style="medium"/>
      <right style="double"/>
      <top style="thin"/>
      <bottom style="hair"/>
    </border>
    <border>
      <left style="thin"/>
      <right style="medium"/>
      <top style="hair"/>
      <bottom style="thin"/>
    </border>
    <border>
      <left style="medium"/>
      <right style="double"/>
      <top style="hair"/>
      <bottom style="thin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thin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/>
      <bottom style="medium"/>
    </border>
    <border>
      <left style="dashed"/>
      <right>
        <color indexed="63"/>
      </right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/>
      <right style="hair">
        <color theme="0" tint="-0.149959996342659"/>
      </right>
      <top/>
      <bottom/>
    </border>
    <border>
      <left style="hair">
        <color theme="0" tint="-0.149959996342659"/>
      </left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 style="hair"/>
      <right style="dashed"/>
      <top/>
      <bottom style="hair"/>
    </border>
    <border>
      <left style="dashed"/>
      <right style="hair"/>
      <top/>
      <bottom style="hair"/>
    </border>
    <border>
      <left/>
      <right style="hair"/>
      <top/>
      <bottom style="hair"/>
    </border>
    <border>
      <left style="hair"/>
      <right style="dashed"/>
      <top/>
      <bottom/>
    </border>
    <border>
      <left style="dashed"/>
      <right style="hair"/>
      <top/>
      <bottom/>
    </border>
    <border>
      <left style="hair"/>
      <right/>
      <top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6" fillId="0" borderId="6" applyNumberFormat="0" applyFill="0" applyAlignment="0" applyProtection="0"/>
    <xf numFmtId="0" fontId="87" fillId="30" borderId="7" applyNumberFormat="0" applyAlignment="0" applyProtection="0"/>
    <xf numFmtId="0" fontId="88" fillId="21" borderId="8" applyNumberFormat="0" applyAlignment="0" applyProtection="0"/>
    <xf numFmtId="0" fontId="8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8" applyNumberFormat="0" applyAlignment="0" applyProtection="0"/>
    <xf numFmtId="0" fontId="91" fillId="0" borderId="9" applyNumberFormat="0" applyFill="0" applyAlignment="0" applyProtection="0"/>
  </cellStyleXfs>
  <cellXfs count="805">
    <xf numFmtId="0" fontId="0" fillId="0" borderId="0" xfId="0" applyFont="1" applyAlignment="1">
      <alignment/>
    </xf>
    <xf numFmtId="0" fontId="92" fillId="0" borderId="10" xfId="0" applyFont="1" applyBorder="1" applyAlignment="1" applyProtection="1">
      <alignment horizontal="center" vertical="center"/>
      <protection hidden="1"/>
    </xf>
    <xf numFmtId="0" fontId="92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3" fillId="0" borderId="12" xfId="0" applyFont="1" applyBorder="1" applyAlignment="1" applyProtection="1">
      <alignment horizontal="center"/>
      <protection hidden="1"/>
    </xf>
    <xf numFmtId="0" fontId="93" fillId="0" borderId="13" xfId="0" applyFont="1" applyBorder="1" applyAlignment="1" applyProtection="1">
      <alignment horizontal="center"/>
      <protection hidden="1"/>
    </xf>
    <xf numFmtId="0" fontId="92" fillId="0" borderId="14" xfId="0" applyFont="1" applyBorder="1" applyAlignment="1" applyProtection="1">
      <alignment horizontal="center" vertical="center"/>
      <protection hidden="1"/>
    </xf>
    <xf numFmtId="0" fontId="92" fillId="0" borderId="13" xfId="0" applyFont="1" applyBorder="1" applyAlignment="1" applyProtection="1">
      <alignment horizontal="center" vertical="center"/>
      <protection hidden="1"/>
    </xf>
    <xf numFmtId="0" fontId="94" fillId="0" borderId="15" xfId="0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96" fillId="0" borderId="16" xfId="0" applyFont="1" applyBorder="1" applyAlignment="1" applyProtection="1">
      <alignment horizontal="center" vertical="center"/>
      <protection hidden="1"/>
    </xf>
    <xf numFmtId="0" fontId="94" fillId="0" borderId="17" xfId="0" applyFont="1" applyBorder="1" applyAlignment="1" applyProtection="1">
      <alignment horizontal="center" vertical="center"/>
      <protection hidden="1"/>
    </xf>
    <xf numFmtId="0" fontId="94" fillId="0" borderId="18" xfId="0" applyFont="1" applyBorder="1" applyAlignment="1" applyProtection="1">
      <alignment horizontal="center" vertical="center"/>
      <protection hidden="1"/>
    </xf>
    <xf numFmtId="0" fontId="94" fillId="0" borderId="19" xfId="0" applyFont="1" applyBorder="1" applyAlignment="1" applyProtection="1">
      <alignment horizontal="center" vertical="center"/>
      <protection hidden="1"/>
    </xf>
    <xf numFmtId="0" fontId="96" fillId="0" borderId="20" xfId="0" applyFont="1" applyBorder="1" applyAlignment="1" applyProtection="1">
      <alignment horizontal="center" vertical="center"/>
      <protection hidden="1"/>
    </xf>
    <xf numFmtId="0" fontId="94" fillId="0" borderId="21" xfId="0" applyFont="1" applyBorder="1" applyAlignment="1" applyProtection="1">
      <alignment horizontal="center" vertical="center"/>
      <protection hidden="1"/>
    </xf>
    <xf numFmtId="0" fontId="96" fillId="0" borderId="22" xfId="0" applyFont="1" applyBorder="1" applyAlignment="1" applyProtection="1">
      <alignment horizontal="center" vertical="center"/>
      <protection hidden="1"/>
    </xf>
    <xf numFmtId="0" fontId="94" fillId="0" borderId="22" xfId="0" applyFont="1" applyBorder="1" applyAlignment="1" applyProtection="1">
      <alignment horizontal="center" vertical="center"/>
      <protection hidden="1"/>
    </xf>
    <xf numFmtId="0" fontId="94" fillId="0" borderId="23" xfId="0" applyFont="1" applyBorder="1" applyAlignment="1" applyProtection="1">
      <alignment horizontal="center" vertical="center"/>
      <protection hidden="1"/>
    </xf>
    <xf numFmtId="0" fontId="91" fillId="0" borderId="23" xfId="0" applyFont="1" applyBorder="1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/>
      <protection hidden="1"/>
    </xf>
    <xf numFmtId="0" fontId="84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horizontal="center"/>
      <protection hidden="1"/>
    </xf>
    <xf numFmtId="0" fontId="94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 horizontal="left"/>
      <protection hidden="1"/>
    </xf>
    <xf numFmtId="0" fontId="94" fillId="0" borderId="0" xfId="0" applyFont="1" applyAlignment="1">
      <alignment horizontal="left"/>
    </xf>
    <xf numFmtId="0" fontId="0" fillId="0" borderId="0" xfId="0" applyAlignment="1" applyProtection="1">
      <alignment horizontal="center" vertical="center"/>
      <protection hidden="1"/>
    </xf>
    <xf numFmtId="0" fontId="91" fillId="0" borderId="0" xfId="0" applyFont="1" applyAlignment="1" applyProtection="1">
      <alignment horizont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94" fillId="0" borderId="0" xfId="0" applyFont="1" applyAlignment="1">
      <alignment horizontal="right"/>
    </xf>
    <xf numFmtId="0" fontId="98" fillId="0" borderId="0" xfId="0" applyFont="1" applyAlignment="1" applyProtection="1">
      <alignment horizontal="left"/>
      <protection hidden="1"/>
    </xf>
    <xf numFmtId="0" fontId="99" fillId="0" borderId="24" xfId="0" applyFont="1" applyBorder="1" applyAlignment="1" applyProtection="1">
      <alignment horizontal="center"/>
      <protection hidden="1"/>
    </xf>
    <xf numFmtId="0" fontId="99" fillId="0" borderId="25" xfId="0" applyFont="1" applyBorder="1" applyAlignment="1" applyProtection="1">
      <alignment horizontal="center"/>
      <protection hidden="1"/>
    </xf>
    <xf numFmtId="0" fontId="99" fillId="0" borderId="26" xfId="0" applyFont="1" applyBorder="1" applyAlignment="1" applyProtection="1">
      <alignment horizontal="center"/>
      <protection hidden="1"/>
    </xf>
    <xf numFmtId="0" fontId="99" fillId="0" borderId="17" xfId="0" applyFont="1" applyBorder="1" applyAlignment="1" applyProtection="1">
      <alignment horizontal="center"/>
      <protection hidden="1"/>
    </xf>
    <xf numFmtId="0" fontId="99" fillId="0" borderId="27" xfId="0" applyFont="1" applyBorder="1" applyAlignment="1" applyProtection="1">
      <alignment horizontal="center"/>
      <protection hidden="1"/>
    </xf>
    <xf numFmtId="0" fontId="99" fillId="0" borderId="28" xfId="0" applyFont="1" applyBorder="1" applyAlignment="1" applyProtection="1">
      <alignment horizontal="center"/>
      <protection hidden="1"/>
    </xf>
    <xf numFmtId="0" fontId="100" fillId="0" borderId="29" xfId="0" applyFont="1" applyBorder="1" applyAlignment="1" applyProtection="1">
      <alignment horizontal="center"/>
      <protection hidden="1"/>
    </xf>
    <xf numFmtId="0" fontId="100" fillId="0" borderId="3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94" fillId="0" borderId="0" xfId="0" applyFont="1" applyFill="1" applyAlignment="1" applyProtection="1">
      <alignment horizontal="lef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49" fontId="94" fillId="0" borderId="31" xfId="0" applyNumberFormat="1" applyFont="1" applyBorder="1" applyAlignment="1" applyProtection="1">
      <alignment horizontal="center"/>
      <protection hidden="1"/>
    </xf>
    <xf numFmtId="49" fontId="94" fillId="0" borderId="32" xfId="0" applyNumberFormat="1" applyFont="1" applyBorder="1" applyAlignment="1" applyProtection="1">
      <alignment horizontal="center"/>
      <protection hidden="1"/>
    </xf>
    <xf numFmtId="49" fontId="94" fillId="0" borderId="33" xfId="0" applyNumberFormat="1" applyFont="1" applyBorder="1" applyAlignment="1" applyProtection="1">
      <alignment horizontal="center"/>
      <protection hidden="1"/>
    </xf>
    <xf numFmtId="49" fontId="94" fillId="0" borderId="21" xfId="0" applyNumberFormat="1" applyFont="1" applyBorder="1" applyAlignment="1" applyProtection="1">
      <alignment horizontal="center"/>
      <protection hidden="1"/>
    </xf>
    <xf numFmtId="20" fontId="92" fillId="0" borderId="0" xfId="0" applyNumberFormat="1" applyFont="1" applyAlignment="1" applyProtection="1">
      <alignment horizontal="center"/>
      <protection hidden="1"/>
    </xf>
    <xf numFmtId="0" fontId="95" fillId="0" borderId="0" xfId="0" applyFont="1" applyAlignment="1" applyProtection="1">
      <alignment/>
      <protection hidden="1"/>
    </xf>
    <xf numFmtId="20" fontId="92" fillId="0" borderId="0" xfId="0" applyNumberFormat="1" applyFont="1" applyAlignment="1" applyProtection="1">
      <alignment/>
      <protection hidden="1"/>
    </xf>
    <xf numFmtId="1" fontId="97" fillId="0" borderId="34" xfId="0" applyNumberFormat="1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9" fontId="94" fillId="0" borderId="0" xfId="0" applyNumberFormat="1" applyFont="1" applyBorder="1" applyAlignment="1" applyProtection="1">
      <alignment horizontal="center" vertical="center"/>
      <protection hidden="1"/>
    </xf>
    <xf numFmtId="20" fontId="84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3" fillId="0" borderId="0" xfId="0" applyFont="1" applyBorder="1" applyAlignment="1" applyProtection="1">
      <alignment horizontal="center"/>
      <protection hidden="1"/>
    </xf>
    <xf numFmtId="0" fontId="97" fillId="0" borderId="35" xfId="0" applyFont="1" applyBorder="1" applyAlignment="1" applyProtection="1">
      <alignment/>
      <protection hidden="1"/>
    </xf>
    <xf numFmtId="0" fontId="97" fillId="0" borderId="36" xfId="0" applyFont="1" applyBorder="1" applyAlignment="1" applyProtection="1">
      <alignment/>
      <protection hidden="1"/>
    </xf>
    <xf numFmtId="0" fontId="97" fillId="0" borderId="37" xfId="0" applyFont="1" applyBorder="1" applyAlignment="1" applyProtection="1">
      <alignment/>
      <protection hidden="1"/>
    </xf>
    <xf numFmtId="0" fontId="94" fillId="0" borderId="20" xfId="0" applyFont="1" applyBorder="1" applyAlignment="1" applyProtection="1">
      <alignment horizontal="center"/>
      <protection hidden="1"/>
    </xf>
    <xf numFmtId="16" fontId="94" fillId="0" borderId="33" xfId="0" applyNumberFormat="1" applyFont="1" applyBorder="1" applyAlignment="1" applyProtection="1" quotePrefix="1">
      <alignment horizontal="center"/>
      <protection hidden="1"/>
    </xf>
    <xf numFmtId="0" fontId="94" fillId="0" borderId="33" xfId="0" applyFont="1" applyBorder="1" applyAlignment="1" applyProtection="1">
      <alignment horizontal="center"/>
      <protection hidden="1"/>
    </xf>
    <xf numFmtId="0" fontId="94" fillId="0" borderId="33" xfId="0" applyFont="1" applyBorder="1" applyAlignment="1" applyProtection="1" quotePrefix="1">
      <alignment horizontal="center"/>
      <protection hidden="1"/>
    </xf>
    <xf numFmtId="14" fontId="94" fillId="0" borderId="33" xfId="0" applyNumberFormat="1" applyFont="1" applyBorder="1" applyAlignment="1" applyProtection="1" quotePrefix="1">
      <alignment horizontal="center"/>
      <protection hidden="1"/>
    </xf>
    <xf numFmtId="0" fontId="94" fillId="0" borderId="21" xfId="0" applyFont="1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94" fillId="0" borderId="10" xfId="0" applyFont="1" applyBorder="1" applyAlignment="1" applyProtection="1">
      <alignment horizontal="center"/>
      <protection hidden="1"/>
    </xf>
    <xf numFmtId="0" fontId="94" fillId="0" borderId="39" xfId="0" applyFont="1" applyBorder="1" applyAlignment="1" applyProtection="1">
      <alignment horizontal="center"/>
      <protection hidden="1"/>
    </xf>
    <xf numFmtId="0" fontId="94" fillId="0" borderId="40" xfId="0" applyFont="1" applyBorder="1" applyAlignment="1" applyProtection="1">
      <alignment horizontal="center"/>
      <protection hidden="1"/>
    </xf>
    <xf numFmtId="0" fontId="94" fillId="0" borderId="11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94" fillId="0" borderId="14" xfId="0" applyFont="1" applyBorder="1" applyAlignment="1" applyProtection="1">
      <alignment horizontal="center"/>
      <protection hidden="1"/>
    </xf>
    <xf numFmtId="0" fontId="94" fillId="0" borderId="12" xfId="0" applyFont="1" applyBorder="1" applyAlignment="1" applyProtection="1">
      <alignment horizontal="center"/>
      <protection hidden="1"/>
    </xf>
    <xf numFmtId="0" fontId="94" fillId="0" borderId="42" xfId="0" applyFont="1" applyBorder="1" applyAlignment="1" applyProtection="1">
      <alignment horizontal="center"/>
      <protection hidden="1"/>
    </xf>
    <xf numFmtId="0" fontId="9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4" fillId="0" borderId="43" xfId="0" applyFont="1" applyBorder="1" applyAlignment="1" applyProtection="1">
      <alignment horizontal="center"/>
      <protection hidden="1"/>
    </xf>
    <xf numFmtId="0" fontId="94" fillId="0" borderId="36" xfId="0" applyFont="1" applyBorder="1" applyAlignment="1" applyProtection="1">
      <alignment/>
      <protection hidden="1"/>
    </xf>
    <xf numFmtId="0" fontId="94" fillId="0" borderId="37" xfId="0" applyFont="1" applyBorder="1" applyAlignment="1" applyProtection="1">
      <alignment/>
      <protection hidden="1"/>
    </xf>
    <xf numFmtId="0" fontId="94" fillId="0" borderId="21" xfId="0" applyFont="1" applyBorder="1" applyAlignment="1" applyProtection="1">
      <alignment horizontal="center"/>
      <protection hidden="1"/>
    </xf>
    <xf numFmtId="0" fontId="94" fillId="0" borderId="30" xfId="0" applyFont="1" applyBorder="1" applyAlignment="1" applyProtection="1">
      <alignment horizontal="center"/>
      <protection hidden="1"/>
    </xf>
    <xf numFmtId="0" fontId="94" fillId="0" borderId="44" xfId="0" applyFont="1" applyBorder="1" applyAlignment="1" applyProtection="1">
      <alignment horizontal="center"/>
      <protection hidden="1"/>
    </xf>
    <xf numFmtId="0" fontId="94" fillId="0" borderId="0" xfId="0" applyFont="1" applyBorder="1" applyAlignment="1" applyProtection="1">
      <alignment horizontal="center"/>
      <protection hidden="1"/>
    </xf>
    <xf numFmtId="0" fontId="95" fillId="0" borderId="0" xfId="0" applyFont="1" applyBorder="1" applyAlignment="1" applyProtection="1">
      <alignment vertical="center"/>
      <protection hidden="1"/>
    </xf>
    <xf numFmtId="0" fontId="94" fillId="0" borderId="0" xfId="0" applyFont="1" applyBorder="1" applyAlignment="1" applyProtection="1">
      <alignment/>
      <protection hidden="1"/>
    </xf>
    <xf numFmtId="16" fontId="94" fillId="0" borderId="0" xfId="0" applyNumberFormat="1" applyFont="1" applyBorder="1" applyAlignment="1" applyProtection="1" quotePrefix="1">
      <alignment horizontal="center"/>
      <protection hidden="1"/>
    </xf>
    <xf numFmtId="0" fontId="94" fillId="0" borderId="0" xfId="0" applyFont="1" applyBorder="1" applyAlignment="1" applyProtection="1" quotePrefix="1">
      <alignment horizontal="center"/>
      <protection hidden="1"/>
    </xf>
    <xf numFmtId="49" fontId="92" fillId="33" borderId="24" xfId="0" applyNumberFormat="1" applyFont="1" applyFill="1" applyBorder="1" applyAlignment="1" applyProtection="1">
      <alignment horizontal="center" vertical="center"/>
      <protection locked="0"/>
    </xf>
    <xf numFmtId="49" fontId="92" fillId="33" borderId="45" xfId="0" applyNumberFormat="1" applyFont="1" applyFill="1" applyBorder="1" applyAlignment="1" applyProtection="1">
      <alignment horizontal="center" vertical="center"/>
      <protection locked="0"/>
    </xf>
    <xf numFmtId="49" fontId="92" fillId="33" borderId="46" xfId="0" applyNumberFormat="1" applyFont="1" applyFill="1" applyBorder="1" applyAlignment="1" applyProtection="1">
      <alignment horizontal="center" vertical="center"/>
      <protection locked="0"/>
    </xf>
    <xf numFmtId="49" fontId="92" fillId="33" borderId="25" xfId="0" applyNumberFormat="1" applyFont="1" applyFill="1" applyBorder="1" applyAlignment="1" applyProtection="1">
      <alignment horizontal="center" vertical="center"/>
      <protection locked="0"/>
    </xf>
    <xf numFmtId="49" fontId="92" fillId="33" borderId="26" xfId="0" applyNumberFormat="1" applyFont="1" applyFill="1" applyBorder="1" applyAlignment="1" applyProtection="1">
      <alignment horizontal="center" vertical="center"/>
      <protection locked="0"/>
    </xf>
    <xf numFmtId="49" fontId="92" fillId="33" borderId="47" xfId="0" applyNumberFormat="1" applyFont="1" applyFill="1" applyBorder="1" applyAlignment="1" applyProtection="1">
      <alignment horizontal="center" vertical="center"/>
      <protection locked="0"/>
    </xf>
    <xf numFmtId="49" fontId="92" fillId="33" borderId="48" xfId="0" applyNumberFormat="1" applyFont="1" applyFill="1" applyBorder="1" applyAlignment="1" applyProtection="1">
      <alignment horizontal="center" vertical="center"/>
      <protection locked="0"/>
    </xf>
    <xf numFmtId="49" fontId="92" fillId="33" borderId="17" xfId="0" applyNumberFormat="1" applyFont="1" applyFill="1" applyBorder="1" applyAlignment="1" applyProtection="1">
      <alignment horizontal="center" vertical="center"/>
      <protection locked="0"/>
    </xf>
    <xf numFmtId="49" fontId="92" fillId="33" borderId="27" xfId="0" applyNumberFormat="1" applyFont="1" applyFill="1" applyBorder="1" applyAlignment="1" applyProtection="1">
      <alignment horizontal="center" vertical="center"/>
      <protection locked="0"/>
    </xf>
    <xf numFmtId="49" fontId="92" fillId="33" borderId="49" xfId="0" applyNumberFormat="1" applyFont="1" applyFill="1" applyBorder="1" applyAlignment="1" applyProtection="1">
      <alignment horizontal="center" vertical="center"/>
      <protection locked="0"/>
    </xf>
    <xf numFmtId="49" fontId="92" fillId="33" borderId="50" xfId="0" applyNumberFormat="1" applyFont="1" applyFill="1" applyBorder="1" applyAlignment="1" applyProtection="1">
      <alignment horizontal="center" vertical="center"/>
      <protection locked="0"/>
    </xf>
    <xf numFmtId="49" fontId="92" fillId="33" borderId="31" xfId="0" applyNumberFormat="1" applyFont="1" applyFill="1" applyBorder="1" applyAlignment="1" applyProtection="1">
      <alignment horizontal="center" vertical="center"/>
      <protection locked="0"/>
    </xf>
    <xf numFmtId="49" fontId="92" fillId="33" borderId="28" xfId="0" applyNumberFormat="1" applyFont="1" applyFill="1" applyBorder="1" applyAlignment="1" applyProtection="1">
      <alignment horizontal="center" vertical="center"/>
      <protection locked="0"/>
    </xf>
    <xf numFmtId="0" fontId="94" fillId="33" borderId="45" xfId="0" applyFont="1" applyFill="1" applyBorder="1" applyAlignment="1" applyProtection="1">
      <alignment horizontal="center" vertical="center"/>
      <protection locked="0"/>
    </xf>
    <xf numFmtId="0" fontId="94" fillId="33" borderId="25" xfId="0" applyFont="1" applyFill="1" applyBorder="1" applyAlignment="1" applyProtection="1">
      <alignment horizontal="center" vertical="center"/>
      <protection locked="0"/>
    </xf>
    <xf numFmtId="0" fontId="94" fillId="33" borderId="47" xfId="0" applyFont="1" applyFill="1" applyBorder="1" applyAlignment="1" applyProtection="1">
      <alignment horizontal="center" vertical="center"/>
      <protection locked="0"/>
    </xf>
    <xf numFmtId="0" fontId="94" fillId="33" borderId="17" xfId="0" applyFont="1" applyFill="1" applyBorder="1" applyAlignment="1" applyProtection="1">
      <alignment horizontal="center" vertical="center"/>
      <protection locked="0"/>
    </xf>
    <xf numFmtId="0" fontId="94" fillId="33" borderId="49" xfId="0" applyFont="1" applyFill="1" applyBorder="1" applyAlignment="1" applyProtection="1">
      <alignment horizontal="center" vertical="center"/>
      <protection locked="0"/>
    </xf>
    <xf numFmtId="0" fontId="94" fillId="33" borderId="28" xfId="0" applyFont="1" applyFill="1" applyBorder="1" applyAlignment="1" applyProtection="1">
      <alignment horizontal="center" vertical="center"/>
      <protection locked="0"/>
    </xf>
    <xf numFmtId="0" fontId="94" fillId="33" borderId="32" xfId="0" applyFont="1" applyFill="1" applyBorder="1" applyAlignment="1" applyProtection="1">
      <alignment horizontal="center" vertical="center"/>
      <protection locked="0"/>
    </xf>
    <xf numFmtId="0" fontId="94" fillId="33" borderId="21" xfId="0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 applyProtection="1">
      <alignment/>
      <protection hidden="1"/>
    </xf>
    <xf numFmtId="0" fontId="94" fillId="0" borderId="51" xfId="0" applyFont="1" applyBorder="1" applyAlignment="1" applyProtection="1">
      <alignment/>
      <protection hidden="1"/>
    </xf>
    <xf numFmtId="0" fontId="92" fillId="0" borderId="51" xfId="0" applyFont="1" applyBorder="1" applyAlignment="1" applyProtection="1">
      <alignment/>
      <protection hidden="1"/>
    </xf>
    <xf numFmtId="0" fontId="94" fillId="0" borderId="52" xfId="0" applyFont="1" applyBorder="1" applyAlignment="1" applyProtection="1">
      <alignment horizontal="left"/>
      <protection hidden="1"/>
    </xf>
    <xf numFmtId="0" fontId="94" fillId="0" borderId="53" xfId="0" applyFont="1" applyBorder="1" applyAlignment="1" applyProtection="1">
      <alignment horizontal="left"/>
      <protection hidden="1"/>
    </xf>
    <xf numFmtId="0" fontId="94" fillId="0" borderId="54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84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94" fillId="33" borderId="55" xfId="0" applyFont="1" applyFill="1" applyBorder="1" applyAlignment="1" applyProtection="1">
      <alignment horizontal="center"/>
      <protection locked="0"/>
    </xf>
    <xf numFmtId="0" fontId="94" fillId="33" borderId="17" xfId="0" applyFont="1" applyFill="1" applyBorder="1" applyAlignment="1" applyProtection="1">
      <alignment horizontal="center"/>
      <protection locked="0"/>
    </xf>
    <xf numFmtId="0" fontId="94" fillId="33" borderId="56" xfId="0" applyFont="1" applyFill="1" applyBorder="1" applyAlignment="1" applyProtection="1">
      <alignment horizontal="center"/>
      <protection locked="0"/>
    </xf>
    <xf numFmtId="0" fontId="94" fillId="33" borderId="31" xfId="0" applyFont="1" applyFill="1" applyBorder="1" applyAlignment="1" applyProtection="1">
      <alignment horizontal="center"/>
      <protection locked="0"/>
    </xf>
    <xf numFmtId="0" fontId="94" fillId="33" borderId="21" xfId="0" applyFont="1" applyFill="1" applyBorder="1" applyAlignment="1" applyProtection="1">
      <alignment horizontal="center"/>
      <protection locked="0"/>
    </xf>
    <xf numFmtId="0" fontId="102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4" fillId="0" borderId="0" xfId="0" applyFont="1" applyAlignment="1" applyProtection="1">
      <alignment horizontal="center"/>
      <protection hidden="1"/>
    </xf>
    <xf numFmtId="0" fontId="10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05" fillId="0" borderId="0" xfId="0" applyFont="1" applyAlignment="1" applyProtection="1">
      <alignment/>
      <protection hidden="1"/>
    </xf>
    <xf numFmtId="0" fontId="104" fillId="0" borderId="0" xfId="0" applyFont="1" applyAlignment="1" applyProtection="1">
      <alignment horizontal="center" vertical="top"/>
      <protection hidden="1"/>
    </xf>
    <xf numFmtId="0" fontId="105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top"/>
      <protection hidden="1"/>
    </xf>
    <xf numFmtId="0" fontId="104" fillId="0" borderId="0" xfId="0" applyFont="1" applyAlignment="1" applyProtection="1">
      <alignment/>
      <protection hidden="1"/>
    </xf>
    <xf numFmtId="0" fontId="0" fillId="33" borderId="57" xfId="0" applyFill="1" applyBorder="1" applyAlignment="1" applyProtection="1">
      <alignment/>
      <protection locked="0"/>
    </xf>
    <xf numFmtId="0" fontId="106" fillId="0" borderId="0" xfId="0" applyFont="1" applyAlignment="1" applyProtection="1">
      <alignment/>
      <protection hidden="1"/>
    </xf>
    <xf numFmtId="0" fontId="105" fillId="0" borderId="0" xfId="0" applyFont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107" fillId="0" borderId="59" xfId="0" applyFont="1" applyBorder="1" applyAlignment="1" applyProtection="1">
      <alignment vertical="top" wrapText="1"/>
      <protection hidden="1"/>
    </xf>
    <xf numFmtId="0" fontId="108" fillId="0" borderId="59" xfId="0" applyFont="1" applyBorder="1" applyAlignment="1" applyProtection="1">
      <alignment vertical="center" wrapText="1"/>
      <protection hidden="1"/>
    </xf>
    <xf numFmtId="0" fontId="108" fillId="0" borderId="60" xfId="0" applyFont="1" applyBorder="1" applyAlignment="1" applyProtection="1">
      <alignment horizontal="center" wrapText="1"/>
      <protection hidden="1"/>
    </xf>
    <xf numFmtId="2" fontId="108" fillId="0" borderId="60" xfId="0" applyNumberFormat="1" applyFont="1" applyBorder="1" applyAlignment="1" applyProtection="1">
      <alignment horizontal="center" wrapText="1"/>
      <protection hidden="1"/>
    </xf>
    <xf numFmtId="0" fontId="109" fillId="0" borderId="59" xfId="0" applyFont="1" applyBorder="1" applyAlignment="1" applyProtection="1">
      <alignment vertical="top" wrapText="1"/>
      <protection hidden="1"/>
    </xf>
    <xf numFmtId="0" fontId="108" fillId="0" borderId="59" xfId="0" applyFont="1" applyBorder="1" applyAlignment="1" applyProtection="1">
      <alignment horizontal="left" vertical="center" wrapText="1"/>
      <protection hidden="1"/>
    </xf>
    <xf numFmtId="0" fontId="108" fillId="0" borderId="61" xfId="0" applyFont="1" applyBorder="1" applyAlignment="1" applyProtection="1">
      <alignment horizontal="center" wrapText="1"/>
      <protection hidden="1"/>
    </xf>
    <xf numFmtId="0" fontId="108" fillId="34" borderId="41" xfId="0" applyFont="1" applyFill="1" applyBorder="1" applyAlignment="1" applyProtection="1">
      <alignment horizontal="center" vertical="center" wrapText="1"/>
      <protection hidden="1"/>
    </xf>
    <xf numFmtId="0" fontId="108" fillId="34" borderId="34" xfId="0" applyFont="1" applyFill="1" applyBorder="1" applyAlignment="1" applyProtection="1">
      <alignment horizontal="center" vertical="center" wrapText="1"/>
      <protection hidden="1"/>
    </xf>
    <xf numFmtId="0" fontId="108" fillId="0" borderId="62" xfId="0" applyFont="1" applyBorder="1" applyAlignment="1" applyProtection="1">
      <alignment horizontal="center" wrapText="1"/>
      <protection hidden="1"/>
    </xf>
    <xf numFmtId="0" fontId="109" fillId="0" borderId="59" xfId="0" applyFont="1" applyBorder="1" applyAlignment="1" applyProtection="1">
      <alignment horizontal="left" vertical="top" wrapText="1"/>
      <protection hidden="1"/>
    </xf>
    <xf numFmtId="0" fontId="109" fillId="0" borderId="41" xfId="0" applyFont="1" applyBorder="1" applyAlignment="1" applyProtection="1">
      <alignment vertical="top" wrapText="1"/>
      <protection hidden="1"/>
    </xf>
    <xf numFmtId="0" fontId="109" fillId="0" borderId="63" xfId="0" applyFont="1" applyBorder="1" applyAlignment="1" applyProtection="1">
      <alignment horizontal="center" vertical="top"/>
      <protection hidden="1"/>
    </xf>
    <xf numFmtId="0" fontId="108" fillId="0" borderId="64" xfId="0" applyFont="1" applyBorder="1" applyAlignment="1" applyProtection="1">
      <alignment horizontal="center" wrapText="1"/>
      <protection hidden="1"/>
    </xf>
    <xf numFmtId="0" fontId="109" fillId="0" borderId="34" xfId="0" applyFont="1" applyBorder="1" applyAlignment="1" applyProtection="1">
      <alignment vertical="top" wrapText="1"/>
      <protection hidden="1"/>
    </xf>
    <xf numFmtId="0" fontId="109" fillId="0" borderId="65" xfId="0" applyFont="1" applyBorder="1" applyAlignment="1" applyProtection="1">
      <alignment horizontal="center" vertical="top"/>
      <protection hidden="1"/>
    </xf>
    <xf numFmtId="0" fontId="108" fillId="0" borderId="59" xfId="0" applyFont="1" applyBorder="1" applyAlignment="1" applyProtection="1">
      <alignment horizontal="left" vertical="top" wrapText="1"/>
      <protection hidden="1"/>
    </xf>
    <xf numFmtId="0" fontId="0" fillId="0" borderId="66" xfId="0" applyFont="1" applyBorder="1" applyAlignment="1" applyProtection="1">
      <alignment/>
      <protection hidden="1"/>
    </xf>
    <xf numFmtId="0" fontId="0" fillId="0" borderId="67" xfId="0" applyFont="1" applyBorder="1" applyAlignment="1" applyProtection="1">
      <alignment/>
      <protection hidden="1"/>
    </xf>
    <xf numFmtId="0" fontId="108" fillId="0" borderId="6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4" fillId="0" borderId="43" xfId="0" applyFont="1" applyBorder="1" applyAlignment="1" applyProtection="1">
      <alignment/>
      <protection hidden="1"/>
    </xf>
    <xf numFmtId="0" fontId="105" fillId="0" borderId="0" xfId="0" applyFont="1" applyFill="1" applyAlignment="1" applyProtection="1">
      <alignment/>
      <protection hidden="1"/>
    </xf>
    <xf numFmtId="0" fontId="105" fillId="0" borderId="0" xfId="0" applyFont="1" applyAlignment="1" applyProtection="1">
      <alignment horizontal="center" wrapText="1"/>
      <protection hidden="1"/>
    </xf>
    <xf numFmtId="0" fontId="105" fillId="0" borderId="0" xfId="0" applyFont="1" applyAlignment="1" applyProtection="1">
      <alignment horizontal="center" vertical="top" wrapText="1"/>
      <protection hidden="1"/>
    </xf>
    <xf numFmtId="0" fontId="105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4" fillId="0" borderId="0" xfId="0" applyFont="1" applyAlignment="1" applyProtection="1">
      <alignment horizontal="left"/>
      <protection hidden="1"/>
    </xf>
    <xf numFmtId="0" fontId="91" fillId="0" borderId="23" xfId="0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94" fillId="0" borderId="0" xfId="0" applyFont="1" applyBorder="1" applyAlignment="1" applyProtection="1">
      <alignment horizontal="center"/>
      <protection hidden="1"/>
    </xf>
    <xf numFmtId="0" fontId="93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94" fillId="0" borderId="42" xfId="0" applyFont="1" applyBorder="1" applyAlignment="1" applyProtection="1">
      <alignment horizontal="center"/>
      <protection hidden="1"/>
    </xf>
    <xf numFmtId="0" fontId="94" fillId="33" borderId="48" xfId="0" applyFont="1" applyFill="1" applyBorder="1" applyAlignment="1" applyProtection="1">
      <alignment horizontal="center"/>
      <protection locked="0"/>
    </xf>
    <xf numFmtId="0" fontId="94" fillId="33" borderId="69" xfId="0" applyFont="1" applyFill="1" applyBorder="1" applyAlignment="1" applyProtection="1">
      <alignment horizontal="center"/>
      <protection locked="0"/>
    </xf>
    <xf numFmtId="0" fontId="94" fillId="33" borderId="70" xfId="0" applyFont="1" applyFill="1" applyBorder="1" applyAlignment="1" applyProtection="1">
      <alignment horizontal="center"/>
      <protection locked="0"/>
    </xf>
    <xf numFmtId="0" fontId="94" fillId="33" borderId="26" xfId="0" applyFont="1" applyFill="1" applyBorder="1" applyAlignment="1" applyProtection="1">
      <alignment horizontal="center"/>
      <protection locked="0"/>
    </xf>
    <xf numFmtId="0" fontId="94" fillId="33" borderId="47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hidden="1"/>
    </xf>
    <xf numFmtId="0" fontId="92" fillId="0" borderId="0" xfId="0" applyNumberFormat="1" applyFont="1" applyBorder="1" applyAlignment="1" applyProtection="1">
      <alignment horizontal="center" vertical="center"/>
      <protection hidden="1"/>
    </xf>
    <xf numFmtId="0" fontId="47" fillId="0" borderId="43" xfId="0" applyFont="1" applyBorder="1" applyAlignment="1" applyProtection="1">
      <alignment horizontal="center" vertical="center"/>
      <protection hidden="1"/>
    </xf>
    <xf numFmtId="0" fontId="47" fillId="0" borderId="57" xfId="0" applyFont="1" applyBorder="1" applyAlignment="1" applyProtection="1">
      <alignment horizontal="center" vertical="center"/>
      <protection hidden="1"/>
    </xf>
    <xf numFmtId="0" fontId="47" fillId="0" borderId="14" xfId="0" applyFont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hidden="1"/>
    </xf>
    <xf numFmtId="16" fontId="10" fillId="0" borderId="69" xfId="0" applyNumberFormat="1" applyFont="1" applyBorder="1" applyAlignment="1" applyProtection="1" quotePrefix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 quotePrefix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48" fillId="0" borderId="22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10" fillId="0" borderId="70" xfId="0" applyFont="1" applyBorder="1" applyAlignment="1" applyProtection="1" quotePrefix="1">
      <alignment horizontal="center" vertical="center"/>
      <protection hidden="1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vertical="center"/>
      <protection hidden="1"/>
    </xf>
    <xf numFmtId="0" fontId="94" fillId="33" borderId="32" xfId="0" applyFont="1" applyFill="1" applyBorder="1" applyAlignment="1" applyProtection="1">
      <alignment horizontal="center"/>
      <protection locked="0"/>
    </xf>
    <xf numFmtId="0" fontId="94" fillId="33" borderId="76" xfId="0" applyFont="1" applyFill="1" applyBorder="1" applyAlignment="1" applyProtection="1">
      <alignment horizontal="center"/>
      <protection locked="0"/>
    </xf>
    <xf numFmtId="0" fontId="94" fillId="33" borderId="77" xfId="0" applyFont="1" applyFill="1" applyBorder="1" applyAlignment="1" applyProtection="1">
      <alignment horizontal="center"/>
      <protection locked="0"/>
    </xf>
    <xf numFmtId="0" fontId="94" fillId="33" borderId="78" xfId="0" applyFont="1" applyFill="1" applyBorder="1" applyAlignment="1" applyProtection="1">
      <alignment horizontal="center"/>
      <protection locked="0"/>
    </xf>
    <xf numFmtId="0" fontId="94" fillId="33" borderId="79" xfId="0" applyFont="1" applyFill="1" applyBorder="1" applyAlignment="1" applyProtection="1">
      <alignment horizontal="center"/>
      <protection locked="0"/>
    </xf>
    <xf numFmtId="0" fontId="110" fillId="0" borderId="31" xfId="0" applyFont="1" applyBorder="1" applyAlignment="1" applyProtection="1">
      <alignment horizontal="center" vertical="center"/>
      <protection hidden="1"/>
    </xf>
    <xf numFmtId="0" fontId="110" fillId="0" borderId="77" xfId="0" applyFont="1" applyBorder="1" applyAlignment="1" applyProtection="1">
      <alignment horizontal="center" vertical="center"/>
      <protection hidden="1"/>
    </xf>
    <xf numFmtId="0" fontId="110" fillId="0" borderId="79" xfId="0" applyFont="1" applyBorder="1" applyAlignment="1" applyProtection="1">
      <alignment horizontal="center" vertical="center"/>
      <protection hidden="1"/>
    </xf>
    <xf numFmtId="0" fontId="110" fillId="0" borderId="70" xfId="0" applyFont="1" applyBorder="1" applyAlignment="1" applyProtection="1">
      <alignment horizontal="center" vertical="center"/>
      <protection hidden="1"/>
    </xf>
    <xf numFmtId="0" fontId="110" fillId="0" borderId="21" xfId="0" applyFont="1" applyBorder="1" applyAlignment="1" applyProtection="1">
      <alignment horizontal="center" vertical="center"/>
      <protection hidden="1"/>
    </xf>
    <xf numFmtId="0" fontId="110" fillId="0" borderId="32" xfId="0" applyFont="1" applyBorder="1" applyAlignment="1" applyProtection="1">
      <alignment horizontal="center" vertical="center"/>
      <protection hidden="1"/>
    </xf>
    <xf numFmtId="0" fontId="9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111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94" fillId="0" borderId="0" xfId="0" applyFont="1" applyFill="1" applyBorder="1" applyAlignment="1" applyProtection="1">
      <alignment horizontal="left"/>
      <protection hidden="1"/>
    </xf>
    <xf numFmtId="0" fontId="94" fillId="33" borderId="80" xfId="0" applyFont="1" applyFill="1" applyBorder="1" applyAlignment="1" applyProtection="1">
      <alignment horizontal="center"/>
      <protection locked="0"/>
    </xf>
    <xf numFmtId="0" fontId="112" fillId="0" borderId="0" xfId="0" applyFont="1" applyBorder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109" fillId="0" borderId="65" xfId="0" applyFont="1" applyBorder="1" applyAlignment="1" applyProtection="1">
      <alignment horizontal="center" vertical="center"/>
      <protection hidden="1"/>
    </xf>
    <xf numFmtId="0" fontId="108" fillId="0" borderId="62" xfId="0" applyFont="1" applyFill="1" applyBorder="1" applyAlignment="1" applyProtection="1">
      <alignment horizontal="center" vertical="center" wrapText="1"/>
      <protection hidden="1"/>
    </xf>
    <xf numFmtId="0" fontId="105" fillId="0" borderId="81" xfId="0" applyFont="1" applyBorder="1" applyAlignment="1" applyProtection="1">
      <alignment horizontal="center" vertical="center"/>
      <protection hidden="1"/>
    </xf>
    <xf numFmtId="0" fontId="105" fillId="0" borderId="82" xfId="0" applyFont="1" applyBorder="1" applyAlignment="1" applyProtection="1">
      <alignment horizontal="center" vertical="center"/>
      <protection hidden="1"/>
    </xf>
    <xf numFmtId="9" fontId="114" fillId="0" borderId="59" xfId="0" applyNumberFormat="1" applyFont="1" applyBorder="1" applyAlignment="1" applyProtection="1">
      <alignment horizontal="left" vertical="center" wrapText="1"/>
      <protection hidden="1"/>
    </xf>
    <xf numFmtId="0" fontId="3" fillId="0" borderId="59" xfId="0" applyFont="1" applyBorder="1" applyAlignment="1" applyProtection="1">
      <alignment horizontal="left" vertical="center" wrapText="1"/>
      <protection hidden="1"/>
    </xf>
    <xf numFmtId="0" fontId="114" fillId="0" borderId="59" xfId="0" applyFont="1" applyBorder="1" applyAlignment="1" applyProtection="1">
      <alignment horizontal="left" vertical="center" wrapText="1"/>
      <protection hidden="1"/>
    </xf>
    <xf numFmtId="0" fontId="7" fillId="0" borderId="83" xfId="0" applyFont="1" applyBorder="1" applyAlignment="1" applyProtection="1">
      <alignment horizontal="left" vertical="center" wrapText="1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94" fillId="0" borderId="35" xfId="0" applyFont="1" applyBorder="1" applyAlignment="1" applyProtection="1">
      <alignment horizontal="left"/>
      <protection hidden="1"/>
    </xf>
    <xf numFmtId="0" fontId="94" fillId="0" borderId="16" xfId="0" applyFont="1" applyBorder="1" applyAlignment="1" applyProtection="1">
      <alignment horizontal="left"/>
      <protection hidden="1"/>
    </xf>
    <xf numFmtId="0" fontId="94" fillId="0" borderId="73" xfId="0" applyFont="1" applyBorder="1" applyAlignment="1" applyProtection="1">
      <alignment horizontal="left"/>
      <protection hidden="1"/>
    </xf>
    <xf numFmtId="0" fontId="94" fillId="0" borderId="0" xfId="0" applyFont="1" applyFill="1" applyBorder="1" applyAlignment="1" applyProtection="1">
      <alignment/>
      <protection hidden="1"/>
    </xf>
    <xf numFmtId="0" fontId="84" fillId="0" borderId="0" xfId="0" applyFont="1" applyAlignment="1" applyProtection="1">
      <alignment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 applyProtection="1">
      <alignment horizontal="center" vertical="center" wrapText="1"/>
      <protection hidden="1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5" fillId="0" borderId="0" xfId="0" applyFont="1" applyBorder="1" applyAlignment="1" applyProtection="1">
      <alignment horizontal="left" vertical="center"/>
      <protection hidden="1"/>
    </xf>
    <xf numFmtId="0" fontId="115" fillId="0" borderId="0" xfId="0" applyFont="1" applyAlignment="1" applyProtection="1">
      <alignment horizontal="left"/>
      <protection hidden="1"/>
    </xf>
    <xf numFmtId="0" fontId="10" fillId="33" borderId="84" xfId="0" applyFont="1" applyFill="1" applyBorder="1" applyAlignment="1" applyProtection="1">
      <alignment horizontal="center" vertical="center"/>
      <protection locked="0"/>
    </xf>
    <xf numFmtId="0" fontId="94" fillId="0" borderId="85" xfId="0" applyFont="1" applyBorder="1" applyAlignment="1" applyProtection="1">
      <alignment horizontal="left"/>
      <protection hidden="1"/>
    </xf>
    <xf numFmtId="0" fontId="97" fillId="0" borderId="34" xfId="0" applyFont="1" applyFill="1" applyBorder="1" applyAlignment="1" applyProtection="1">
      <alignment horizontal="left"/>
      <protection hidden="1"/>
    </xf>
    <xf numFmtId="0" fontId="92" fillId="0" borderId="0" xfId="0" applyFont="1" applyBorder="1" applyAlignment="1" applyProtection="1">
      <alignment vertical="center"/>
      <protection hidden="1"/>
    </xf>
    <xf numFmtId="0" fontId="92" fillId="0" borderId="57" xfId="0" applyFont="1" applyBorder="1" applyAlignment="1" applyProtection="1">
      <alignment vertical="center"/>
      <protection hidden="1"/>
    </xf>
    <xf numFmtId="0" fontId="116" fillId="0" borderId="0" xfId="0" applyFont="1" applyAlignment="1" applyProtection="1">
      <alignment/>
      <protection hidden="1"/>
    </xf>
    <xf numFmtId="0" fontId="9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0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84" fillId="0" borderId="43" xfId="0" applyFont="1" applyFill="1" applyBorder="1" applyAlignment="1" applyProtection="1">
      <alignment horizontal="left"/>
      <protection hidden="1"/>
    </xf>
    <xf numFmtId="0" fontId="96" fillId="0" borderId="0" xfId="0" applyFont="1" applyFill="1" applyBorder="1" applyAlignment="1" applyProtection="1">
      <alignment horizontal="center"/>
      <protection hidden="1"/>
    </xf>
    <xf numFmtId="4" fontId="117" fillId="0" borderId="0" xfId="0" applyNumberFormat="1" applyFont="1" applyAlignment="1" applyProtection="1">
      <alignment horizontal="center"/>
      <protection hidden="1"/>
    </xf>
    <xf numFmtId="0" fontId="118" fillId="0" borderId="0" xfId="0" applyFont="1" applyBorder="1" applyAlignment="1" applyProtection="1">
      <alignment/>
      <protection hidden="1"/>
    </xf>
    <xf numFmtId="0" fontId="105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92" fillId="0" borderId="0" xfId="0" applyFont="1" applyFill="1" applyAlignment="1" applyProtection="1">
      <alignment horizontal="center"/>
      <protection hidden="1"/>
    </xf>
    <xf numFmtId="0" fontId="92" fillId="0" borderId="0" xfId="0" applyFont="1" applyFill="1" applyBorder="1" applyAlignment="1" applyProtection="1">
      <alignment horizontal="center"/>
      <protection hidden="1"/>
    </xf>
    <xf numFmtId="0" fontId="10" fillId="33" borderId="55" xfId="0" applyNumberFormat="1" applyFont="1" applyFill="1" applyBorder="1" applyAlignment="1" applyProtection="1">
      <alignment horizontal="center" vertical="center"/>
      <protection locked="0"/>
    </xf>
    <xf numFmtId="0" fontId="10" fillId="33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19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center"/>
      <protection hidden="1"/>
    </xf>
    <xf numFmtId="0" fontId="84" fillId="0" borderId="0" xfId="0" applyFont="1" applyFill="1" applyBorder="1" applyAlignment="1" applyProtection="1">
      <alignment horizontal="left"/>
      <protection hidden="1"/>
    </xf>
    <xf numFmtId="0" fontId="94" fillId="0" borderId="0" xfId="0" applyFont="1" applyFill="1" applyBorder="1" applyAlignment="1" applyProtection="1">
      <alignment horizontal="left"/>
      <protection hidden="1"/>
    </xf>
    <xf numFmtId="1" fontId="44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116" fillId="0" borderId="0" xfId="0" applyNumberFormat="1" applyFont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/>
      <protection hidden="1"/>
    </xf>
    <xf numFmtId="2" fontId="94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2" fontId="44" fillId="0" borderId="0" xfId="0" applyNumberFormat="1" applyFont="1" applyAlignment="1" applyProtection="1">
      <alignment horizontal="center"/>
      <protection hidden="1"/>
    </xf>
    <xf numFmtId="2" fontId="94" fillId="0" borderId="52" xfId="0" applyNumberFormat="1" applyFont="1" applyBorder="1" applyAlignment="1" applyProtection="1">
      <alignment horizontal="left"/>
      <protection hidden="1"/>
    </xf>
    <xf numFmtId="2" fontId="120" fillId="0" borderId="0" xfId="0" applyNumberFormat="1" applyFont="1" applyFill="1" applyAlignment="1" applyProtection="1">
      <alignment horizontal="center"/>
      <protection hidden="1"/>
    </xf>
    <xf numFmtId="2" fontId="6" fillId="0" borderId="0" xfId="0" applyNumberFormat="1" applyFont="1" applyFill="1" applyAlignment="1" applyProtection="1">
      <alignment/>
      <protection hidden="1"/>
    </xf>
    <xf numFmtId="2" fontId="94" fillId="0" borderId="53" xfId="0" applyNumberFormat="1" applyFont="1" applyBorder="1" applyAlignment="1" applyProtection="1">
      <alignment horizontal="left"/>
      <protection hidden="1"/>
    </xf>
    <xf numFmtId="2" fontId="119" fillId="0" borderId="0" xfId="0" applyNumberFormat="1" applyFont="1" applyFill="1" applyBorder="1" applyAlignment="1" applyProtection="1">
      <alignment/>
      <protection hidden="1"/>
    </xf>
    <xf numFmtId="2" fontId="76" fillId="0" borderId="0" xfId="0" applyNumberFormat="1" applyFont="1" applyAlignment="1" applyProtection="1">
      <alignment/>
      <protection hidden="1"/>
    </xf>
    <xf numFmtId="2" fontId="43" fillId="0" borderId="0" xfId="0" applyNumberFormat="1" applyFont="1" applyAlignment="1" applyProtection="1">
      <alignment/>
      <protection hidden="1"/>
    </xf>
    <xf numFmtId="2" fontId="43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2" fontId="84" fillId="0" borderId="0" xfId="0" applyNumberFormat="1" applyFont="1" applyAlignment="1" applyProtection="1">
      <alignment/>
      <protection hidden="1"/>
    </xf>
    <xf numFmtId="2" fontId="43" fillId="0" borderId="0" xfId="0" applyNumberFormat="1" applyFont="1" applyFill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94" fillId="0" borderId="54" xfId="0" applyNumberFormat="1" applyFont="1" applyBorder="1" applyAlignment="1" applyProtection="1">
      <alignment horizontal="left"/>
      <protection hidden="1"/>
    </xf>
    <xf numFmtId="2" fontId="97" fillId="0" borderId="34" xfId="0" applyNumberFormat="1" applyFont="1" applyBorder="1" applyAlignment="1" applyProtection="1">
      <alignment vertical="center"/>
      <protection hidden="1"/>
    </xf>
    <xf numFmtId="2" fontId="0" fillId="0" borderId="30" xfId="0" applyNumberFormat="1" applyBorder="1" applyAlignment="1" applyProtection="1">
      <alignment/>
      <protection hidden="1"/>
    </xf>
    <xf numFmtId="2" fontId="96" fillId="0" borderId="0" xfId="0" applyNumberFormat="1" applyFont="1" applyAlignment="1" applyProtection="1">
      <alignment horizontal="center"/>
      <protection hidden="1"/>
    </xf>
    <xf numFmtId="0" fontId="10" fillId="0" borderId="36" xfId="0" applyFont="1" applyFill="1" applyBorder="1" applyAlignment="1" applyProtection="1">
      <alignment horizontal="left"/>
      <protection hidden="1"/>
    </xf>
    <xf numFmtId="0" fontId="94" fillId="0" borderId="56" xfId="0" applyFont="1" applyFill="1" applyBorder="1" applyAlignment="1" applyProtection="1">
      <alignment horizontal="left"/>
      <protection hidden="1"/>
    </xf>
    <xf numFmtId="0" fontId="94" fillId="0" borderId="80" xfId="0" applyFont="1" applyFill="1" applyBorder="1" applyAlignment="1" applyProtection="1">
      <alignment horizontal="left"/>
      <protection hidden="1"/>
    </xf>
    <xf numFmtId="0" fontId="94" fillId="0" borderId="36" xfId="0" applyFont="1" applyFill="1" applyBorder="1" applyAlignment="1" applyProtection="1">
      <alignment horizontal="left"/>
      <protection hidden="1"/>
    </xf>
    <xf numFmtId="1" fontId="121" fillId="0" borderId="0" xfId="0" applyNumberFormat="1" applyFont="1" applyAlignment="1" applyProtection="1">
      <alignment horizontal="center"/>
      <protection hidden="1"/>
    </xf>
    <xf numFmtId="0" fontId="121" fillId="0" borderId="0" xfId="0" applyFont="1" applyAlignment="1" applyProtection="1">
      <alignment/>
      <protection hidden="1"/>
    </xf>
    <xf numFmtId="0" fontId="121" fillId="0" borderId="0" xfId="0" applyFont="1" applyAlignment="1" applyProtection="1">
      <alignment horizontal="center"/>
      <protection hidden="1"/>
    </xf>
    <xf numFmtId="0" fontId="10" fillId="33" borderId="35" xfId="0" applyFont="1" applyFill="1" applyBorder="1" applyAlignment="1" applyProtection="1">
      <alignment horizontal="left"/>
      <protection locked="0"/>
    </xf>
    <xf numFmtId="0" fontId="94" fillId="33" borderId="16" xfId="0" applyFont="1" applyFill="1" applyBorder="1" applyAlignment="1" applyProtection="1">
      <alignment horizontal="left"/>
      <protection locked="0"/>
    </xf>
    <xf numFmtId="0" fontId="94" fillId="33" borderId="20" xfId="0" applyFont="1" applyFill="1" applyBorder="1" applyAlignment="1" applyProtection="1">
      <alignment horizontal="left"/>
      <protection locked="0"/>
    </xf>
    <xf numFmtId="0" fontId="10" fillId="33" borderId="36" xfId="0" applyFont="1" applyFill="1" applyBorder="1" applyAlignment="1" applyProtection="1">
      <alignment horizontal="left"/>
      <protection locked="0"/>
    </xf>
    <xf numFmtId="0" fontId="94" fillId="33" borderId="56" xfId="0" applyFont="1" applyFill="1" applyBorder="1" applyAlignment="1" applyProtection="1">
      <alignment horizontal="left"/>
      <protection locked="0"/>
    </xf>
    <xf numFmtId="0" fontId="94" fillId="33" borderId="80" xfId="0" applyFont="1" applyFill="1" applyBorder="1" applyAlignment="1" applyProtection="1">
      <alignment horizontal="left"/>
      <protection locked="0"/>
    </xf>
    <xf numFmtId="0" fontId="10" fillId="33" borderId="71" xfId="0" applyFont="1" applyFill="1" applyBorder="1" applyAlignment="1" applyProtection="1">
      <alignment horizontal="left"/>
      <protection locked="0"/>
    </xf>
    <xf numFmtId="0" fontId="94" fillId="33" borderId="86" xfId="0" applyFont="1" applyFill="1" applyBorder="1" applyAlignment="1" applyProtection="1">
      <alignment horizontal="left"/>
      <protection locked="0"/>
    </xf>
    <xf numFmtId="0" fontId="94" fillId="33" borderId="69" xfId="0" applyFont="1" applyFill="1" applyBorder="1" applyAlignment="1" applyProtection="1">
      <alignment horizontal="left"/>
      <protection locked="0"/>
    </xf>
    <xf numFmtId="0" fontId="94" fillId="33" borderId="48" xfId="0" applyFont="1" applyFill="1" applyBorder="1" applyAlignment="1" applyProtection="1">
      <alignment horizontal="left"/>
      <protection locked="0"/>
    </xf>
    <xf numFmtId="0" fontId="94" fillId="33" borderId="70" xfId="0" applyFont="1" applyFill="1" applyBorder="1" applyAlignment="1" applyProtection="1">
      <alignment horizontal="left"/>
      <protection locked="0"/>
    </xf>
    <xf numFmtId="0" fontId="94" fillId="33" borderId="33" xfId="0" applyFont="1" applyFill="1" applyBorder="1" applyAlignment="1" applyProtection="1">
      <alignment horizontal="left"/>
      <protection locked="0"/>
    </xf>
    <xf numFmtId="0" fontId="94" fillId="33" borderId="36" xfId="0" applyFont="1" applyFill="1" applyBorder="1" applyAlignment="1" applyProtection="1">
      <alignment horizontal="left"/>
      <protection locked="0"/>
    </xf>
    <xf numFmtId="0" fontId="94" fillId="33" borderId="71" xfId="0" applyFont="1" applyFill="1" applyBorder="1" applyAlignment="1" applyProtection="1">
      <alignment horizontal="left"/>
      <protection locked="0"/>
    </xf>
    <xf numFmtId="0" fontId="94" fillId="33" borderId="37" xfId="0" applyFont="1" applyFill="1" applyBorder="1" applyAlignment="1" applyProtection="1">
      <alignment horizontal="left"/>
      <protection locked="0"/>
    </xf>
    <xf numFmtId="0" fontId="94" fillId="33" borderId="18" xfId="0" applyFont="1" applyFill="1" applyBorder="1" applyAlignment="1" applyProtection="1">
      <alignment horizontal="left"/>
      <protection locked="0"/>
    </xf>
    <xf numFmtId="0" fontId="94" fillId="33" borderId="75" xfId="0" applyFont="1" applyFill="1" applyBorder="1" applyAlignment="1" applyProtection="1">
      <alignment horizontal="left"/>
      <protection locked="0"/>
    </xf>
    <xf numFmtId="0" fontId="94" fillId="33" borderId="84" xfId="0" applyNumberFormat="1" applyFont="1" applyFill="1" applyBorder="1" applyAlignment="1" applyProtection="1">
      <alignment horizontal="center"/>
      <protection locked="0"/>
    </xf>
    <xf numFmtId="0" fontId="94" fillId="33" borderId="26" xfId="0" applyNumberFormat="1" applyFont="1" applyFill="1" applyBorder="1" applyAlignment="1" applyProtection="1">
      <alignment horizontal="center"/>
      <protection locked="0"/>
    </xf>
    <xf numFmtId="0" fontId="94" fillId="33" borderId="31" xfId="0" applyNumberFormat="1" applyFont="1" applyFill="1" applyBorder="1" applyAlignment="1" applyProtection="1">
      <alignment horizontal="center"/>
      <protection locked="0"/>
    </xf>
    <xf numFmtId="0" fontId="97" fillId="0" borderId="29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04" fillId="0" borderId="0" xfId="0" applyFont="1" applyAlignment="1" applyProtection="1">
      <alignment horizontal="center" vertical="top"/>
      <protection hidden="1"/>
    </xf>
    <xf numFmtId="0" fontId="105" fillId="0" borderId="87" xfId="0" applyFont="1" applyBorder="1" applyAlignment="1" applyProtection="1">
      <alignment horizontal="center" vertical="center"/>
      <protection hidden="1"/>
    </xf>
    <xf numFmtId="2" fontId="0" fillId="33" borderId="57" xfId="0" applyNumberFormat="1" applyFill="1" applyBorder="1" applyAlignment="1" applyProtection="1">
      <alignment horizontal="center"/>
      <protection locked="0"/>
    </xf>
    <xf numFmtId="0" fontId="104" fillId="0" borderId="0" xfId="0" applyFont="1" applyBorder="1" applyAlignment="1" applyProtection="1">
      <alignment horizontal="center"/>
      <protection hidden="1"/>
    </xf>
    <xf numFmtId="0" fontId="106" fillId="0" borderId="0" xfId="0" applyFont="1" applyBorder="1" applyAlignment="1" applyProtection="1">
      <alignment horizontal="center"/>
      <protection hidden="1"/>
    </xf>
    <xf numFmtId="0" fontId="108" fillId="0" borderId="6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04" fillId="0" borderId="43" xfId="0" applyFont="1" applyBorder="1" applyAlignment="1" applyProtection="1">
      <alignment horizontal="left"/>
      <protection hidden="1"/>
    </xf>
    <xf numFmtId="0" fontId="122" fillId="0" borderId="0" xfId="0" applyFont="1" applyAlignment="1" applyProtection="1">
      <alignment/>
      <protection hidden="1"/>
    </xf>
    <xf numFmtId="0" fontId="105" fillId="0" borderId="88" xfId="0" applyFont="1" applyBorder="1" applyAlignment="1" applyProtection="1">
      <alignment horizontal="center" vertical="center"/>
      <protection hidden="1"/>
    </xf>
    <xf numFmtId="0" fontId="105" fillId="0" borderId="89" xfId="0" applyFont="1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108" fillId="34" borderId="91" xfId="0" applyFont="1" applyFill="1" applyBorder="1" applyAlignment="1" applyProtection="1">
      <alignment horizontal="center" vertical="center" wrapText="1"/>
      <protection hidden="1"/>
    </xf>
    <xf numFmtId="0" fontId="109" fillId="0" borderId="91" xfId="0" applyFont="1" applyBorder="1" applyAlignment="1" applyProtection="1">
      <alignment vertical="top"/>
      <protection hidden="1"/>
    </xf>
    <xf numFmtId="0" fontId="116" fillId="0" borderId="92" xfId="0" applyFont="1" applyBorder="1" applyAlignment="1" applyProtection="1">
      <alignment horizontal="center" vertical="center" wrapText="1"/>
      <protection hidden="1"/>
    </xf>
    <xf numFmtId="49" fontId="114" fillId="0" borderId="92" xfId="0" applyNumberFormat="1" applyFont="1" applyBorder="1" applyAlignment="1" applyProtection="1">
      <alignment horizontal="center" vertical="center"/>
      <protection hidden="1"/>
    </xf>
    <xf numFmtId="0" fontId="114" fillId="0" borderId="59" xfId="0" applyFont="1" applyBorder="1" applyAlignment="1" applyProtection="1">
      <alignment horizontal="center" vertical="top"/>
      <protection hidden="1"/>
    </xf>
    <xf numFmtId="0" fontId="114" fillId="0" borderId="92" xfId="0" applyFont="1" applyBorder="1" applyAlignment="1" applyProtection="1">
      <alignment horizontal="center" vertical="center"/>
      <protection hidden="1"/>
    </xf>
    <xf numFmtId="0" fontId="109" fillId="0" borderId="63" xfId="0" applyFont="1" applyBorder="1" applyAlignment="1" applyProtection="1">
      <alignment vertical="top" wrapText="1"/>
      <protection hidden="1"/>
    </xf>
    <xf numFmtId="0" fontId="108" fillId="0" borderId="57" xfId="0" applyFont="1" applyBorder="1" applyAlignment="1" applyProtection="1">
      <alignment horizontal="left" vertical="center" wrapText="1"/>
      <protection hidden="1"/>
    </xf>
    <xf numFmtId="0" fontId="109" fillId="0" borderId="93" xfId="0" applyFont="1" applyBorder="1" applyAlignment="1" applyProtection="1">
      <alignment horizontal="center" vertical="center"/>
      <protection hidden="1"/>
    </xf>
    <xf numFmtId="0" fontId="108" fillId="35" borderId="57" xfId="0" applyFont="1" applyFill="1" applyBorder="1" applyAlignment="1" applyProtection="1">
      <alignment horizontal="center" vertical="center" wrapText="1"/>
      <protection hidden="1"/>
    </xf>
    <xf numFmtId="0" fontId="109" fillId="0" borderId="94" xfId="0" applyFont="1" applyBorder="1" applyAlignment="1" applyProtection="1">
      <alignment horizontal="center" vertical="top"/>
      <protection hidden="1"/>
    </xf>
    <xf numFmtId="0" fontId="109" fillId="0" borderId="95" xfId="0" applyFont="1" applyBorder="1" applyAlignment="1" applyProtection="1">
      <alignment horizontal="left" vertical="top" wrapText="1"/>
      <protection hidden="1"/>
    </xf>
    <xf numFmtId="0" fontId="108" fillId="34" borderId="95" xfId="0" applyFont="1" applyFill="1" applyBorder="1" applyAlignment="1" applyProtection="1">
      <alignment horizontal="center" vertical="center" wrapText="1"/>
      <protection hidden="1"/>
    </xf>
    <xf numFmtId="0" fontId="109" fillId="0" borderId="96" xfId="0" applyFont="1" applyBorder="1" applyAlignment="1" applyProtection="1">
      <alignment horizontal="center" vertical="top"/>
      <protection hidden="1"/>
    </xf>
    <xf numFmtId="0" fontId="108" fillId="0" borderId="97" xfId="0" applyFont="1" applyBorder="1" applyAlignment="1" applyProtection="1">
      <alignment horizontal="center" wrapText="1"/>
      <protection hidden="1"/>
    </xf>
    <xf numFmtId="0" fontId="109" fillId="0" borderId="53" xfId="0" applyFont="1" applyBorder="1" applyAlignment="1" applyProtection="1">
      <alignment horizontal="left" vertical="top" wrapText="1"/>
      <protection hidden="1"/>
    </xf>
    <xf numFmtId="0" fontId="108" fillId="34" borderId="53" xfId="0" applyFont="1" applyFill="1" applyBorder="1" applyAlignment="1" applyProtection="1">
      <alignment horizontal="center" vertical="center" wrapText="1"/>
      <protection hidden="1"/>
    </xf>
    <xf numFmtId="0" fontId="109" fillId="0" borderId="98" xfId="0" applyFont="1" applyBorder="1" applyAlignment="1" applyProtection="1">
      <alignment horizontal="center" vertical="top"/>
      <protection hidden="1"/>
    </xf>
    <xf numFmtId="0" fontId="108" fillId="0" borderId="99" xfId="0" applyFont="1" applyBorder="1" applyAlignment="1" applyProtection="1">
      <alignment horizontal="center" wrapText="1"/>
      <protection hidden="1"/>
    </xf>
    <xf numFmtId="0" fontId="109" fillId="0" borderId="100" xfId="0" applyFont="1" applyBorder="1" applyAlignment="1" applyProtection="1">
      <alignment horizontal="left" vertical="top" wrapText="1"/>
      <protection hidden="1"/>
    </xf>
    <xf numFmtId="0" fontId="108" fillId="34" borderId="100" xfId="0" applyFont="1" applyFill="1" applyBorder="1" applyAlignment="1" applyProtection="1">
      <alignment horizontal="center" vertical="center" wrapText="1"/>
      <protection hidden="1"/>
    </xf>
    <xf numFmtId="0" fontId="109" fillId="0" borderId="101" xfId="0" applyFont="1" applyBorder="1" applyAlignment="1" applyProtection="1">
      <alignment horizontal="center" vertical="top"/>
      <protection hidden="1"/>
    </xf>
    <xf numFmtId="0" fontId="108" fillId="0" borderId="102" xfId="0" applyFont="1" applyBorder="1" applyAlignment="1" applyProtection="1">
      <alignment horizontal="center" wrapText="1"/>
      <protection hidden="1"/>
    </xf>
    <xf numFmtId="0" fontId="109" fillId="0" borderId="52" xfId="0" applyFont="1" applyBorder="1" applyAlignment="1" applyProtection="1">
      <alignment horizontal="left" vertical="top" wrapText="1"/>
      <protection hidden="1"/>
    </xf>
    <xf numFmtId="0" fontId="108" fillId="34" borderId="52" xfId="0" applyFont="1" applyFill="1" applyBorder="1" applyAlignment="1" applyProtection="1">
      <alignment horizontal="center" vertical="center" wrapText="1"/>
      <protection hidden="1"/>
    </xf>
    <xf numFmtId="0" fontId="109" fillId="0" borderId="103" xfId="0" applyFont="1" applyBorder="1" applyAlignment="1" applyProtection="1">
      <alignment horizontal="center" vertical="top"/>
      <protection hidden="1"/>
    </xf>
    <xf numFmtId="0" fontId="108" fillId="0" borderId="104" xfId="0" applyFont="1" applyBorder="1" applyAlignment="1" applyProtection="1">
      <alignment horizontal="center" wrapText="1"/>
      <protection hidden="1"/>
    </xf>
    <xf numFmtId="0" fontId="108" fillId="0" borderId="54" xfId="0" applyFont="1" applyBorder="1" applyAlignment="1" applyProtection="1">
      <alignment horizontal="left" vertical="top" wrapText="1"/>
      <protection hidden="1"/>
    </xf>
    <xf numFmtId="0" fontId="108" fillId="34" borderId="54" xfId="0" applyFont="1" applyFill="1" applyBorder="1" applyAlignment="1" applyProtection="1">
      <alignment horizontal="center" vertical="center" wrapText="1"/>
      <protection hidden="1"/>
    </xf>
    <xf numFmtId="0" fontId="109" fillId="0" borderId="105" xfId="0" applyFont="1" applyBorder="1" applyAlignment="1" applyProtection="1">
      <alignment horizontal="center" vertical="top"/>
      <protection hidden="1"/>
    </xf>
    <xf numFmtId="0" fontId="108" fillId="0" borderId="106" xfId="0" applyFont="1" applyBorder="1" applyAlignment="1" applyProtection="1">
      <alignment horizontal="center" wrapText="1"/>
      <protection hidden="1"/>
    </xf>
    <xf numFmtId="0" fontId="2" fillId="0" borderId="52" xfId="0" applyFont="1" applyBorder="1" applyAlignment="1" applyProtection="1">
      <alignment horizontal="left" vertical="top" wrapText="1"/>
      <protection hidden="1"/>
    </xf>
    <xf numFmtId="0" fontId="109" fillId="0" borderId="103" xfId="0" applyFont="1" applyBorder="1" applyAlignment="1" applyProtection="1">
      <alignment horizontal="center" vertical="center"/>
      <protection hidden="1"/>
    </xf>
    <xf numFmtId="0" fontId="108" fillId="0" borderId="104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left" vertical="top" wrapText="1"/>
      <protection hidden="1"/>
    </xf>
    <xf numFmtId="0" fontId="109" fillId="0" borderId="98" xfId="0" applyFont="1" applyBorder="1" applyAlignment="1" applyProtection="1">
      <alignment horizontal="center" vertical="center"/>
      <protection hidden="1"/>
    </xf>
    <xf numFmtId="0" fontId="108" fillId="0" borderId="99" xfId="0" applyFont="1" applyBorder="1" applyAlignment="1" applyProtection="1">
      <alignment horizontal="center" vertical="center" wrapText="1"/>
      <protection hidden="1"/>
    </xf>
    <xf numFmtId="0" fontId="2" fillId="0" borderId="100" xfId="0" applyFont="1" applyBorder="1" applyAlignment="1" applyProtection="1">
      <alignment horizontal="left" vertical="top" wrapText="1"/>
      <protection hidden="1"/>
    </xf>
    <xf numFmtId="0" fontId="109" fillId="0" borderId="101" xfId="0" applyFont="1" applyBorder="1" applyAlignment="1" applyProtection="1">
      <alignment horizontal="center" vertical="center"/>
      <protection hidden="1"/>
    </xf>
    <xf numFmtId="0" fontId="108" fillId="0" borderId="102" xfId="0" applyFont="1" applyBorder="1" applyAlignment="1" applyProtection="1">
      <alignment horizontal="center" vertical="center" wrapText="1"/>
      <protection hidden="1"/>
    </xf>
    <xf numFmtId="0" fontId="109" fillId="0" borderId="95" xfId="0" applyFont="1" applyBorder="1" applyAlignment="1" applyProtection="1">
      <alignment vertical="top" wrapText="1"/>
      <protection hidden="1"/>
    </xf>
    <xf numFmtId="0" fontId="109" fillId="0" borderId="107" xfId="0" applyFont="1" applyBorder="1" applyAlignment="1" applyProtection="1">
      <alignment horizontal="center" vertical="top"/>
      <protection hidden="1"/>
    </xf>
    <xf numFmtId="0" fontId="109" fillId="0" borderId="53" xfId="0" applyFont="1" applyBorder="1" applyAlignment="1" applyProtection="1">
      <alignment vertical="top" wrapText="1"/>
      <protection hidden="1"/>
    </xf>
    <xf numFmtId="0" fontId="109" fillId="0" borderId="16" xfId="0" applyFont="1" applyBorder="1" applyAlignment="1" applyProtection="1">
      <alignment horizontal="center" vertical="top"/>
      <protection hidden="1"/>
    </xf>
    <xf numFmtId="0" fontId="109" fillId="0" borderId="100" xfId="0" applyFont="1" applyBorder="1" applyAlignment="1" applyProtection="1">
      <alignment vertical="top" wrapText="1"/>
      <protection hidden="1"/>
    </xf>
    <xf numFmtId="0" fontId="109" fillId="0" borderId="108" xfId="0" applyFont="1" applyBorder="1" applyAlignment="1" applyProtection="1">
      <alignment horizontal="center" vertical="top"/>
      <protection hidden="1"/>
    </xf>
    <xf numFmtId="0" fontId="104" fillId="0" borderId="0" xfId="0" applyFont="1" applyBorder="1" applyAlignment="1" applyProtection="1">
      <alignment horizontal="left"/>
      <protection hidden="1"/>
    </xf>
    <xf numFmtId="2" fontId="92" fillId="0" borderId="63" xfId="0" applyNumberFormat="1" applyFont="1" applyBorder="1" applyAlignment="1" applyProtection="1">
      <alignment horizontal="center" vertical="center"/>
      <protection hidden="1"/>
    </xf>
    <xf numFmtId="2" fontId="92" fillId="0" borderId="109" xfId="0" applyNumberFormat="1" applyFont="1" applyBorder="1" applyAlignment="1" applyProtection="1">
      <alignment horizontal="center" vertical="center"/>
      <protection hidden="1"/>
    </xf>
    <xf numFmtId="2" fontId="92" fillId="0" borderId="41" xfId="0" applyNumberFormat="1" applyFont="1" applyBorder="1" applyAlignment="1" applyProtection="1">
      <alignment horizontal="center" vertical="center"/>
      <protection hidden="1"/>
    </xf>
    <xf numFmtId="2" fontId="119" fillId="0" borderId="0" xfId="0" applyNumberFormat="1" applyFont="1" applyFill="1" applyBorder="1" applyAlignment="1" applyProtection="1">
      <alignment horizontal="left"/>
      <protection hidden="1"/>
    </xf>
    <xf numFmtId="0" fontId="94" fillId="33" borderId="47" xfId="0" applyFont="1" applyFill="1" applyBorder="1" applyAlignment="1" applyProtection="1">
      <alignment horizontal="center" vertical="center"/>
      <protection locked="0"/>
    </xf>
    <xf numFmtId="0" fontId="94" fillId="33" borderId="49" xfId="0" applyFont="1" applyFill="1" applyBorder="1" applyAlignment="1" applyProtection="1">
      <alignment horizontal="center" vertical="center"/>
      <protection locked="0"/>
    </xf>
    <xf numFmtId="14" fontId="0" fillId="4" borderId="57" xfId="0" applyNumberFormat="1" applyFill="1" applyBorder="1" applyAlignment="1" applyProtection="1">
      <alignment horizontal="center"/>
      <protection hidden="1"/>
    </xf>
    <xf numFmtId="0" fontId="91" fillId="0" borderId="0" xfId="0" applyFont="1" applyAlignment="1" applyProtection="1">
      <alignment horizontal="right"/>
      <protection hidden="1"/>
    </xf>
    <xf numFmtId="0" fontId="104" fillId="0" borderId="0" xfId="0" applyFont="1" applyBorder="1" applyAlignment="1" applyProtection="1">
      <alignment/>
      <protection hidden="1"/>
    </xf>
    <xf numFmtId="0" fontId="123" fillId="0" borderId="10" xfId="0" applyFont="1" applyBorder="1" applyAlignment="1">
      <alignment horizontal="center"/>
    </xf>
    <xf numFmtId="0" fontId="123" fillId="0" borderId="39" xfId="0" applyFont="1" applyBorder="1" applyAlignment="1">
      <alignment horizontal="center"/>
    </xf>
    <xf numFmtId="0" fontId="123" fillId="0" borderId="11" xfId="0" applyFont="1" applyBorder="1" applyAlignment="1">
      <alignment horizontal="center"/>
    </xf>
    <xf numFmtId="0" fontId="123" fillId="0" borderId="14" xfId="0" applyFont="1" applyBorder="1" applyAlignment="1">
      <alignment horizontal="center"/>
    </xf>
    <xf numFmtId="0" fontId="123" fillId="0" borderId="12" xfId="0" applyFont="1" applyBorder="1" applyAlignment="1">
      <alignment horizontal="center"/>
    </xf>
    <xf numFmtId="0" fontId="123" fillId="0" borderId="13" xfId="0" applyFont="1" applyBorder="1" applyAlignment="1">
      <alignment horizontal="center"/>
    </xf>
    <xf numFmtId="0" fontId="123" fillId="0" borderId="110" xfId="0" applyFont="1" applyBorder="1" applyAlignment="1">
      <alignment horizontal="center"/>
    </xf>
    <xf numFmtId="0" fontId="123" fillId="0" borderId="111" xfId="0" applyFont="1" applyBorder="1" applyAlignment="1">
      <alignment horizontal="center"/>
    </xf>
    <xf numFmtId="0" fontId="123" fillId="0" borderId="44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164" fontId="0" fillId="0" borderId="112" xfId="0" applyNumberFormat="1" applyBorder="1" applyAlignment="1">
      <alignment/>
    </xf>
    <xf numFmtId="164" fontId="91" fillId="0" borderId="55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164" fontId="0" fillId="0" borderId="47" xfId="0" applyNumberFormat="1" applyBorder="1" applyAlignment="1">
      <alignment/>
    </xf>
    <xf numFmtId="164" fontId="91" fillId="0" borderId="17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/>
    </xf>
    <xf numFmtId="164" fontId="91" fillId="0" borderId="21" xfId="0" applyNumberFormat="1" applyFont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64" fontId="91" fillId="0" borderId="84" xfId="0" applyNumberFormat="1" applyFont="1" applyBorder="1" applyAlignment="1">
      <alignment/>
    </xf>
    <xf numFmtId="164" fontId="91" fillId="0" borderId="26" xfId="0" applyNumberFormat="1" applyFont="1" applyBorder="1" applyAlignment="1">
      <alignment/>
    </xf>
    <xf numFmtId="164" fontId="91" fillId="0" borderId="31" xfId="0" applyNumberFormat="1" applyFont="1" applyBorder="1" applyAlignment="1">
      <alignment/>
    </xf>
    <xf numFmtId="0" fontId="91" fillId="4" borderId="57" xfId="0" applyFont="1" applyFill="1" applyBorder="1" applyAlignment="1" applyProtection="1">
      <alignment horizontal="center"/>
      <protection hidden="1"/>
    </xf>
    <xf numFmtId="1" fontId="94" fillId="33" borderId="55" xfId="0" applyNumberFormat="1" applyFont="1" applyFill="1" applyBorder="1" applyAlignment="1" applyProtection="1">
      <alignment horizontal="center"/>
      <protection locked="0"/>
    </xf>
    <xf numFmtId="1" fontId="94" fillId="33" borderId="17" xfId="0" applyNumberFormat="1" applyFont="1" applyFill="1" applyBorder="1" applyAlignment="1" applyProtection="1">
      <alignment horizontal="center"/>
      <protection locked="0"/>
    </xf>
    <xf numFmtId="1" fontId="94" fillId="33" borderId="21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164" fontId="0" fillId="0" borderId="36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164" fontId="91" fillId="0" borderId="35" xfId="0" applyNumberFormat="1" applyFont="1" applyBorder="1" applyAlignment="1" applyProtection="1">
      <alignment/>
      <protection hidden="1"/>
    </xf>
    <xf numFmtId="164" fontId="0" fillId="0" borderId="56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164" fontId="91" fillId="0" borderId="16" xfId="0" applyNumberFormat="1" applyFont="1" applyBorder="1" applyAlignment="1" applyProtection="1">
      <alignment/>
      <protection hidden="1"/>
    </xf>
    <xf numFmtId="164" fontId="0" fillId="0" borderId="80" xfId="0" applyNumberFormat="1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164" fontId="91" fillId="0" borderId="20" xfId="0" applyNumberFormat="1" applyFont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164" fontId="91" fillId="0" borderId="73" xfId="0" applyNumberFormat="1" applyFont="1" applyBorder="1" applyAlignment="1" applyProtection="1">
      <alignment/>
      <protection hidden="1"/>
    </xf>
    <xf numFmtId="164" fontId="0" fillId="0" borderId="114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15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33" borderId="57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104" fillId="0" borderId="0" xfId="0" applyFont="1" applyAlignment="1" applyProtection="1">
      <alignment vertical="center"/>
      <protection hidden="1"/>
    </xf>
    <xf numFmtId="0" fontId="124" fillId="0" borderId="0" xfId="0" applyFont="1" applyAlignment="1" applyProtection="1">
      <alignment vertical="center"/>
      <protection hidden="1"/>
    </xf>
    <xf numFmtId="0" fontId="125" fillId="0" borderId="0" xfId="0" applyFont="1" applyAlignment="1" applyProtection="1">
      <alignment/>
      <protection hidden="1"/>
    </xf>
    <xf numFmtId="0" fontId="124" fillId="0" borderId="0" xfId="0" applyFont="1" applyFill="1" applyAlignment="1" applyProtection="1">
      <alignment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 vertical="top"/>
      <protection hidden="1"/>
    </xf>
    <xf numFmtId="0" fontId="94" fillId="4" borderId="57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04" fillId="0" borderId="0" xfId="0" applyFont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 vertical="top"/>
      <protection hidden="1"/>
    </xf>
    <xf numFmtId="0" fontId="124" fillId="0" borderId="0" xfId="0" applyFont="1" applyFill="1" applyBorder="1" applyAlignment="1" applyProtection="1">
      <alignment horizontal="left" vertical="center"/>
      <protection hidden="1"/>
    </xf>
    <xf numFmtId="0" fontId="126" fillId="0" borderId="0" xfId="0" applyFont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 locked="0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72" xfId="0" applyNumberFormat="1" applyFont="1" applyFill="1" applyBorder="1" applyAlignment="1">
      <alignment horizontal="center"/>
    </xf>
    <xf numFmtId="0" fontId="11" fillId="0" borderId="11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72" xfId="0" applyNumberFormat="1" applyFont="1" applyFill="1" applyBorder="1" applyAlignment="1">
      <alignment horizontal="center"/>
    </xf>
    <xf numFmtId="0" fontId="10" fillId="0" borderId="114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/>
    </xf>
    <xf numFmtId="0" fontId="47" fillId="0" borderId="72" xfId="0" applyNumberFormat="1" applyFont="1" applyFill="1" applyBorder="1" applyAlignment="1">
      <alignment/>
    </xf>
    <xf numFmtId="0" fontId="47" fillId="0" borderId="114" xfId="0" applyNumberFormat="1" applyFont="1" applyFill="1" applyBorder="1" applyAlignment="1">
      <alignment/>
    </xf>
    <xf numFmtId="0" fontId="47" fillId="0" borderId="72" xfId="0" applyFont="1" applyFill="1" applyBorder="1" applyAlignment="1">
      <alignment/>
    </xf>
    <xf numFmtId="0" fontId="96" fillId="0" borderId="71" xfId="0" applyFont="1" applyBorder="1" applyAlignment="1" applyProtection="1">
      <alignment horizontal="center" vertical="center"/>
      <protection hidden="1"/>
    </xf>
    <xf numFmtId="0" fontId="96" fillId="0" borderId="69" xfId="0" applyFont="1" applyBorder="1" applyAlignment="1" applyProtection="1">
      <alignment horizontal="center" vertical="center"/>
      <protection hidden="1"/>
    </xf>
    <xf numFmtId="0" fontId="96" fillId="0" borderId="7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27" fillId="0" borderId="43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28" fillId="0" borderId="0" xfId="0" applyFont="1" applyAlignment="1">
      <alignment horizontal="justify" vertical="center"/>
    </xf>
    <xf numFmtId="0" fontId="129" fillId="0" borderId="0" xfId="0" applyFont="1" applyBorder="1" applyAlignment="1">
      <alignment horizontal="justify" vertical="center"/>
    </xf>
    <xf numFmtId="0" fontId="130" fillId="0" borderId="0" xfId="0" applyFont="1" applyBorder="1" applyAlignment="1">
      <alignment vertical="center" wrapText="1"/>
    </xf>
    <xf numFmtId="0" fontId="131" fillId="0" borderId="0" xfId="0" applyFont="1" applyBorder="1" applyAlignment="1">
      <alignment vertical="center" wrapText="1"/>
    </xf>
    <xf numFmtId="0" fontId="13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3" fillId="0" borderId="0" xfId="0" applyFont="1" applyBorder="1" applyAlignment="1">
      <alignment horizontal="justify" vertical="center" wrapText="1"/>
    </xf>
    <xf numFmtId="0" fontId="131" fillId="0" borderId="0" xfId="0" applyFont="1" applyBorder="1" applyAlignment="1">
      <alignment horizontal="justify" vertical="center" wrapText="1"/>
    </xf>
    <xf numFmtId="0" fontId="130" fillId="0" borderId="0" xfId="0" applyFont="1" applyBorder="1" applyAlignment="1">
      <alignment horizontal="justify" vertical="center" wrapText="1"/>
    </xf>
    <xf numFmtId="0" fontId="132" fillId="0" borderId="0" xfId="0" applyFont="1" applyBorder="1" applyAlignment="1">
      <alignment horizontal="justify" vertical="center" wrapText="1"/>
    </xf>
    <xf numFmtId="0" fontId="134" fillId="0" borderId="0" xfId="0" applyFont="1" applyBorder="1" applyAlignment="1">
      <alignment vertical="center" wrapText="1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top"/>
      <protection hidden="1"/>
    </xf>
    <xf numFmtId="0" fontId="7" fillId="0" borderId="83" xfId="0" applyFont="1" applyFill="1" applyBorder="1" applyAlignment="1" applyProtection="1">
      <alignment horizontal="left" vertical="center" wrapText="1"/>
      <protection hidden="1"/>
    </xf>
    <xf numFmtId="0" fontId="107" fillId="0" borderId="59" xfId="0" applyFont="1" applyFill="1" applyBorder="1" applyAlignment="1" applyProtection="1">
      <alignment vertical="top" wrapText="1"/>
      <protection hidden="1"/>
    </xf>
    <xf numFmtId="0" fontId="108" fillId="0" borderId="59" xfId="0" applyFont="1" applyFill="1" applyBorder="1" applyAlignment="1" applyProtection="1">
      <alignment vertical="center" wrapText="1"/>
      <protection hidden="1"/>
    </xf>
    <xf numFmtId="0" fontId="116" fillId="0" borderId="92" xfId="0" applyFont="1" applyFill="1" applyBorder="1" applyAlignment="1" applyProtection="1">
      <alignment horizontal="center"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/>
      <protection hidden="1"/>
    </xf>
    <xf numFmtId="0" fontId="0" fillId="0" borderId="91" xfId="0" applyFill="1" applyBorder="1" applyAlignment="1" applyProtection="1">
      <alignment horizontal="center" vertical="center"/>
      <protection hidden="1"/>
    </xf>
    <xf numFmtId="0" fontId="105" fillId="0" borderId="94" xfId="0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Fill="1" applyAlignment="1" applyProtection="1">
      <alignment horizontal="center"/>
      <protection hidden="1"/>
    </xf>
    <xf numFmtId="0" fontId="105" fillId="0" borderId="0" xfId="0" applyFont="1" applyFill="1" applyAlignment="1" applyProtection="1">
      <alignment/>
      <protection hidden="1"/>
    </xf>
    <xf numFmtId="1" fontId="0" fillId="0" borderId="56" xfId="0" applyNumberFormat="1" applyFill="1" applyBorder="1" applyAlignment="1" applyProtection="1">
      <alignment/>
      <protection hidden="1"/>
    </xf>
    <xf numFmtId="0" fontId="93" fillId="0" borderId="0" xfId="0" applyFont="1" applyAlignment="1" applyProtection="1">
      <alignment wrapText="1"/>
      <protection hidden="1"/>
    </xf>
    <xf numFmtId="1" fontId="0" fillId="0" borderId="56" xfId="0" applyNumberFormat="1" applyBorder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135" fillId="0" borderId="116" xfId="0" applyFont="1" applyFill="1" applyBorder="1" applyAlignment="1" applyProtection="1">
      <alignment horizontal="center" vertical="center" wrapText="1"/>
      <protection hidden="1"/>
    </xf>
    <xf numFmtId="0" fontId="94" fillId="33" borderId="117" xfId="0" applyFont="1" applyFill="1" applyBorder="1" applyAlignment="1" applyProtection="1">
      <alignment horizontal="center"/>
      <protection locked="0"/>
    </xf>
    <xf numFmtId="0" fontId="94" fillId="33" borderId="16" xfId="0" applyFont="1" applyFill="1" applyBorder="1" applyAlignment="1" applyProtection="1">
      <alignment horizontal="center"/>
      <protection locked="0"/>
    </xf>
    <xf numFmtId="0" fontId="94" fillId="33" borderId="84" xfId="0" applyFont="1" applyFill="1" applyBorder="1" applyAlignment="1" applyProtection="1">
      <alignment horizontal="center"/>
      <protection locked="0"/>
    </xf>
    <xf numFmtId="0" fontId="110" fillId="0" borderId="0" xfId="0" applyFont="1" applyAlignment="1" applyProtection="1">
      <alignment/>
      <protection hidden="1"/>
    </xf>
    <xf numFmtId="0" fontId="110" fillId="0" borderId="43" xfId="0" applyFont="1" applyBorder="1" applyAlignment="1" applyProtection="1">
      <alignment/>
      <protection hidden="1"/>
    </xf>
    <xf numFmtId="0" fontId="21" fillId="0" borderId="91" xfId="0" applyFont="1" applyFill="1" applyBorder="1" applyAlignment="1" applyProtection="1">
      <alignment horizontal="left" vertical="center"/>
      <protection hidden="1"/>
    </xf>
    <xf numFmtId="0" fontId="117" fillId="0" borderId="0" xfId="0" applyFont="1" applyAlignment="1" applyProtection="1">
      <alignment horizontal="left"/>
      <protection hidden="1"/>
    </xf>
    <xf numFmtId="0" fontId="117" fillId="0" borderId="0" xfId="0" applyNumberFormat="1" applyFont="1" applyAlignment="1" applyProtection="1">
      <alignment horizontal="left"/>
      <protection hidden="1"/>
    </xf>
    <xf numFmtId="0" fontId="136" fillId="0" borderId="0" xfId="0" applyFont="1" applyAlignment="1" applyProtection="1">
      <alignment horizontal="left"/>
      <protection hidden="1"/>
    </xf>
    <xf numFmtId="0" fontId="105" fillId="0" borderId="81" xfId="0" applyFont="1" applyBorder="1" applyAlignment="1" applyProtection="1">
      <alignment horizontal="center" vertical="top"/>
      <protection hidden="1"/>
    </xf>
    <xf numFmtId="0" fontId="105" fillId="0" borderId="59" xfId="0" applyFont="1" applyBorder="1" applyAlignment="1" applyProtection="1">
      <alignment horizontal="center" vertical="top"/>
      <protection hidden="1"/>
    </xf>
    <xf numFmtId="0" fontId="105" fillId="0" borderId="118" xfId="0" applyFont="1" applyBorder="1" applyAlignment="1" applyProtection="1">
      <alignment horizontal="center" vertical="center"/>
      <protection hidden="1"/>
    </xf>
    <xf numFmtId="0" fontId="105" fillId="0" borderId="119" xfId="0" applyFont="1" applyBorder="1" applyAlignment="1" applyProtection="1">
      <alignment horizontal="center" vertical="center"/>
      <protection hidden="1"/>
    </xf>
    <xf numFmtId="0" fontId="0" fillId="0" borderId="120" xfId="0" applyFont="1" applyBorder="1" applyAlignment="1" applyProtection="1">
      <alignment horizontal="center"/>
      <protection hidden="1"/>
    </xf>
    <xf numFmtId="0" fontId="0" fillId="0" borderId="121" xfId="0" applyFont="1" applyBorder="1" applyAlignment="1" applyProtection="1">
      <alignment horizontal="center"/>
      <protection hidden="1"/>
    </xf>
    <xf numFmtId="0" fontId="0" fillId="0" borderId="87" xfId="0" applyFont="1" applyBorder="1" applyAlignment="1" applyProtection="1">
      <alignment horizontal="center"/>
      <protection hidden="1"/>
    </xf>
    <xf numFmtId="0" fontId="0" fillId="0" borderId="122" xfId="0" applyFont="1" applyBorder="1" applyAlignment="1" applyProtection="1">
      <alignment horizontal="center"/>
      <protection hidden="1"/>
    </xf>
    <xf numFmtId="0" fontId="0" fillId="0" borderId="123" xfId="0" applyFont="1" applyBorder="1" applyAlignment="1" applyProtection="1">
      <alignment horizontal="center"/>
      <protection hidden="1"/>
    </xf>
    <xf numFmtId="0" fontId="0" fillId="0" borderId="124" xfId="0" applyFont="1" applyBorder="1" applyAlignment="1" applyProtection="1">
      <alignment horizontal="center"/>
      <protection hidden="1"/>
    </xf>
    <xf numFmtId="0" fontId="105" fillId="0" borderId="120" xfId="0" applyFont="1" applyBorder="1" applyAlignment="1" applyProtection="1">
      <alignment horizontal="center" vertical="top"/>
      <protection hidden="1"/>
    </xf>
    <xf numFmtId="0" fontId="105" fillId="0" borderId="121" xfId="0" applyFont="1" applyBorder="1" applyAlignment="1" applyProtection="1">
      <alignment horizontal="center" vertical="top"/>
      <protection hidden="1"/>
    </xf>
    <xf numFmtId="0" fontId="105" fillId="0" borderId="87" xfId="0" applyFont="1" applyBorder="1" applyAlignment="1" applyProtection="1">
      <alignment horizontal="center" vertical="top"/>
      <protection hidden="1"/>
    </xf>
    <xf numFmtId="0" fontId="105" fillId="0" borderId="122" xfId="0" applyFont="1" applyBorder="1" applyAlignment="1" applyProtection="1">
      <alignment horizontal="center" vertical="top"/>
      <protection hidden="1"/>
    </xf>
    <xf numFmtId="0" fontId="105" fillId="0" borderId="123" xfId="0" applyFont="1" applyBorder="1" applyAlignment="1" applyProtection="1">
      <alignment horizontal="center" vertical="top"/>
      <protection hidden="1"/>
    </xf>
    <xf numFmtId="0" fontId="105" fillId="0" borderId="124" xfId="0" applyFont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4" fontId="0" fillId="0" borderId="56" xfId="0" applyNumberFormat="1" applyFill="1" applyBorder="1" applyAlignment="1" applyProtection="1">
      <alignment horizontal="left"/>
      <protection hidden="1"/>
    </xf>
    <xf numFmtId="3" fontId="0" fillId="0" borderId="72" xfId="0" applyNumberFormat="1" applyFill="1" applyBorder="1" applyAlignment="1" applyProtection="1">
      <alignment horizontal="left"/>
      <protection hidden="1"/>
    </xf>
    <xf numFmtId="0" fontId="0" fillId="0" borderId="56" xfId="0" applyFill="1" applyBorder="1" applyAlignment="1" applyProtection="1">
      <alignment horizontal="left"/>
      <protection hidden="1"/>
    </xf>
    <xf numFmtId="0" fontId="0" fillId="0" borderId="56" xfId="0" applyBorder="1" applyAlignment="1" applyProtection="1">
      <alignment horizontal="left"/>
      <protection hidden="1"/>
    </xf>
    <xf numFmtId="0" fontId="0" fillId="33" borderId="56" xfId="0" applyFill="1" applyBorder="1" applyAlignment="1" applyProtection="1">
      <alignment horizontal="left"/>
      <protection locked="0"/>
    </xf>
    <xf numFmtId="0" fontId="137" fillId="0" borderId="56" xfId="0" applyFont="1" applyFill="1" applyBorder="1" applyAlignment="1" applyProtection="1">
      <alignment horizontal="left"/>
      <protection hidden="1"/>
    </xf>
    <xf numFmtId="0" fontId="115" fillId="0" borderId="57" xfId="0" applyFont="1" applyBorder="1" applyAlignment="1" applyProtection="1">
      <alignment horizontal="left"/>
      <protection hidden="1"/>
    </xf>
    <xf numFmtId="0" fontId="106" fillId="4" borderId="22" xfId="0" applyFont="1" applyFill="1" applyBorder="1" applyAlignment="1" applyProtection="1">
      <alignment horizontal="left"/>
      <protection hidden="1"/>
    </xf>
    <xf numFmtId="4" fontId="0" fillId="0" borderId="72" xfId="0" applyNumberFormat="1" applyFill="1" applyBorder="1" applyAlignment="1" applyProtection="1">
      <alignment horizontal="left"/>
      <protection hidden="1"/>
    </xf>
    <xf numFmtId="0" fontId="91" fillId="33" borderId="22" xfId="0" applyFont="1" applyFill="1" applyBorder="1" applyAlignment="1" applyProtection="1">
      <alignment horizontal="left"/>
      <protection hidden="1"/>
    </xf>
    <xf numFmtId="0" fontId="13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33" borderId="72" xfId="0" applyFill="1" applyBorder="1" applyAlignment="1" applyProtection="1">
      <alignment horizontal="left"/>
      <protection locked="0"/>
    </xf>
    <xf numFmtId="0" fontId="105" fillId="0" borderId="0" xfId="0" applyFont="1" applyFill="1" applyAlignment="1" applyProtection="1">
      <alignment horizontal="left" wrapText="1"/>
      <protection hidden="1"/>
    </xf>
    <xf numFmtId="0" fontId="105" fillId="33" borderId="57" xfId="0" applyFont="1" applyFill="1" applyBorder="1" applyAlignment="1" applyProtection="1">
      <alignment horizontal="center" vertical="center"/>
      <protection locked="0"/>
    </xf>
    <xf numFmtId="0" fontId="118" fillId="0" borderId="43" xfId="0" applyFont="1" applyBorder="1" applyAlignment="1" applyProtection="1">
      <alignment horizontal="center"/>
      <protection hidden="1"/>
    </xf>
    <xf numFmtId="0" fontId="139" fillId="4" borderId="0" xfId="0" applyFont="1" applyFill="1" applyAlignment="1" applyProtection="1">
      <alignment horizontal="center"/>
      <protection hidden="1"/>
    </xf>
    <xf numFmtId="0" fontId="140" fillId="4" borderId="57" xfId="0" applyFont="1" applyFill="1" applyBorder="1" applyAlignment="1" applyProtection="1">
      <alignment horizontal="left" vertical="center"/>
      <protection hidden="1"/>
    </xf>
    <xf numFmtId="0" fontId="141" fillId="4" borderId="57" xfId="0" applyFont="1" applyFill="1" applyBorder="1" applyAlignment="1" applyProtection="1">
      <alignment horizontal="center" vertical="center"/>
      <protection hidden="1"/>
    </xf>
    <xf numFmtId="0" fontId="122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05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91" fillId="33" borderId="57" xfId="0" applyFont="1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105" fillId="0" borderId="0" xfId="0" applyFont="1" applyAlignment="1" applyProtection="1">
      <alignment horizontal="left"/>
      <protection hidden="1"/>
    </xf>
    <xf numFmtId="0" fontId="105" fillId="4" borderId="0" xfId="0" applyFont="1" applyFill="1" applyAlignment="1" applyProtection="1">
      <alignment horizontal="center"/>
      <protection hidden="1"/>
    </xf>
    <xf numFmtId="0" fontId="140" fillId="33" borderId="57" xfId="0" applyFont="1" applyFill="1" applyBorder="1" applyAlignment="1" applyProtection="1">
      <alignment horizontal="left" vertical="center"/>
      <protection locked="0"/>
    </xf>
    <xf numFmtId="0" fontId="105" fillId="33" borderId="57" xfId="0" applyFont="1" applyFill="1" applyBorder="1" applyAlignment="1" applyProtection="1">
      <alignment horizontal="left" vertical="center"/>
      <protection locked="0"/>
    </xf>
    <xf numFmtId="0" fontId="94" fillId="33" borderId="57" xfId="0" applyFont="1" applyFill="1" applyBorder="1" applyAlignment="1" applyProtection="1">
      <alignment horizontal="left" vertical="center"/>
      <protection locked="0"/>
    </xf>
    <xf numFmtId="0" fontId="105" fillId="4" borderId="0" xfId="0" applyFont="1" applyFill="1" applyBorder="1" applyAlignment="1" applyProtection="1">
      <alignment horizontal="center"/>
      <protection hidden="1"/>
    </xf>
    <xf numFmtId="0" fontId="105" fillId="4" borderId="125" xfId="0" applyFont="1" applyFill="1" applyBorder="1" applyAlignment="1" applyProtection="1">
      <alignment horizontal="center"/>
      <protection hidden="1"/>
    </xf>
    <xf numFmtId="1" fontId="0" fillId="33" borderId="57" xfId="0" applyNumberFormat="1" applyFill="1" applyBorder="1" applyAlignment="1" applyProtection="1">
      <alignment horizontal="center" vertical="center"/>
      <protection locked="0"/>
    </xf>
    <xf numFmtId="0" fontId="140" fillId="4" borderId="0" xfId="0" applyFont="1" applyFill="1" applyBorder="1" applyAlignment="1" applyProtection="1">
      <alignment horizontal="center"/>
      <protection hidden="1"/>
    </xf>
    <xf numFmtId="0" fontId="140" fillId="4" borderId="125" xfId="0" applyFont="1" applyFill="1" applyBorder="1" applyAlignment="1" applyProtection="1">
      <alignment horizontal="center"/>
      <protection hidden="1"/>
    </xf>
    <xf numFmtId="0" fontId="140" fillId="4" borderId="126" xfId="0" applyFont="1" applyFill="1" applyBorder="1" applyAlignment="1" applyProtection="1">
      <alignment horizontal="center"/>
      <protection hidden="1"/>
    </xf>
    <xf numFmtId="0" fontId="105" fillId="4" borderId="126" xfId="0" applyFont="1" applyFill="1" applyBorder="1" applyAlignment="1" applyProtection="1">
      <alignment horizontal="center"/>
      <protection hidden="1"/>
    </xf>
    <xf numFmtId="0" fontId="94" fillId="4" borderId="126" xfId="0" applyFont="1" applyFill="1" applyBorder="1" applyAlignment="1" applyProtection="1">
      <alignment horizontal="center" vertical="center"/>
      <protection hidden="1"/>
    </xf>
    <xf numFmtId="0" fontId="94" fillId="4" borderId="0" xfId="0" applyFont="1" applyFill="1" applyBorder="1" applyAlignment="1" applyProtection="1">
      <alignment horizontal="center" vertical="center"/>
      <protection hidden="1"/>
    </xf>
    <xf numFmtId="0" fontId="94" fillId="4" borderId="125" xfId="0" applyFont="1" applyFill="1" applyBorder="1" applyAlignment="1" applyProtection="1">
      <alignment horizontal="center" vertical="center"/>
      <protection hidden="1"/>
    </xf>
    <xf numFmtId="0" fontId="0" fillId="4" borderId="126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25" xfId="0" applyFill="1" applyBorder="1" applyAlignment="1" applyProtection="1">
      <alignment horizontal="center" vertical="center"/>
      <protection hidden="1"/>
    </xf>
    <xf numFmtId="0" fontId="104" fillId="0" borderId="43" xfId="0" applyFont="1" applyBorder="1" applyAlignment="1" applyProtection="1">
      <alignment horizontal="center"/>
      <protection hidden="1"/>
    </xf>
    <xf numFmtId="14" fontId="105" fillId="4" borderId="57" xfId="0" applyNumberFormat="1" applyFont="1" applyFill="1" applyBorder="1" applyAlignment="1" applyProtection="1">
      <alignment horizontal="center" vertical="center"/>
      <protection hidden="1"/>
    </xf>
    <xf numFmtId="0" fontId="105" fillId="4" borderId="57" xfId="0" applyFont="1" applyFill="1" applyBorder="1" applyAlignment="1" applyProtection="1">
      <alignment horizontal="center" vertical="center"/>
      <protection hidden="1"/>
    </xf>
    <xf numFmtId="0" fontId="92" fillId="0" borderId="43" xfId="0" applyFont="1" applyBorder="1" applyAlignment="1" applyProtection="1">
      <alignment horizontal="center" vertical="center" wrapText="1"/>
      <protection hidden="1"/>
    </xf>
    <xf numFmtId="0" fontId="92" fillId="0" borderId="0" xfId="0" applyFont="1" applyBorder="1" applyAlignment="1" applyProtection="1">
      <alignment horizontal="center" vertical="center" wrapText="1"/>
      <protection hidden="1"/>
    </xf>
    <xf numFmtId="0" fontId="92" fillId="0" borderId="57" xfId="0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horizontal="left" vertical="center"/>
      <protection hidden="1"/>
    </xf>
    <xf numFmtId="0" fontId="0" fillId="4" borderId="22" xfId="0" applyFill="1" applyBorder="1" applyAlignment="1" applyProtection="1">
      <alignment horizontal="left" vertical="center"/>
      <protection hidden="1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/>
    </xf>
    <xf numFmtId="0" fontId="92" fillId="0" borderId="115" xfId="0" applyFont="1" applyBorder="1" applyAlignment="1" applyProtection="1">
      <alignment horizontal="center" vertical="center" wrapText="1"/>
      <protection hidden="1"/>
    </xf>
    <xf numFmtId="0" fontId="92" fillId="0" borderId="51" xfId="0" applyFont="1" applyBorder="1" applyAlignment="1" applyProtection="1">
      <alignment horizontal="center" vertical="center" wrapText="1"/>
      <protection hidden="1"/>
    </xf>
    <xf numFmtId="0" fontId="92" fillId="0" borderId="63" xfId="0" applyFont="1" applyBorder="1" applyAlignment="1" applyProtection="1">
      <alignment horizontal="center" vertical="center" wrapText="1"/>
      <protection hidden="1"/>
    </xf>
    <xf numFmtId="0" fontId="141" fillId="0" borderId="0" xfId="0" applyFont="1" applyAlignment="1" applyProtection="1">
      <alignment horizontal="center"/>
      <protection hidden="1"/>
    </xf>
    <xf numFmtId="0" fontId="92" fillId="0" borderId="127" xfId="0" applyFont="1" applyBorder="1" applyAlignment="1" applyProtection="1">
      <alignment horizontal="center" vertical="center" wrapText="1"/>
      <protection hidden="1"/>
    </xf>
    <xf numFmtId="0" fontId="92" fillId="0" borderId="122" xfId="0" applyFont="1" applyBorder="1" applyAlignment="1" applyProtection="1">
      <alignment horizontal="center" vertical="center" wrapText="1"/>
      <protection hidden="1"/>
    </xf>
    <xf numFmtId="0" fontId="92" fillId="0" borderId="109" xfId="0" applyFont="1" applyBorder="1" applyAlignment="1" applyProtection="1">
      <alignment horizontal="center" vertical="center" wrapText="1"/>
      <protection hidden="1"/>
    </xf>
    <xf numFmtId="0" fontId="118" fillId="0" borderId="0" xfId="0" applyFont="1" applyBorder="1" applyAlignment="1" applyProtection="1">
      <alignment horizontal="left"/>
      <protection hidden="1"/>
    </xf>
    <xf numFmtId="0" fontId="104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0" fontId="137" fillId="0" borderId="43" xfId="0" applyFont="1" applyBorder="1" applyAlignment="1" applyProtection="1">
      <alignment horizontal="center" vertical="top" wrapText="1"/>
      <protection hidden="1"/>
    </xf>
    <xf numFmtId="0" fontId="92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57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105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33" borderId="0" xfId="0" applyNumberFormat="1" applyFill="1" applyBorder="1" applyAlignment="1" applyProtection="1">
      <alignment horizontal="center" vertical="center"/>
      <protection locked="0"/>
    </xf>
    <xf numFmtId="2" fontId="0" fillId="33" borderId="57" xfId="0" applyNumberFormat="1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/>
      <protection hidden="1"/>
    </xf>
    <xf numFmtId="0" fontId="105" fillId="0" borderId="0" xfId="0" applyFont="1" applyAlignment="1" applyProtection="1">
      <alignment horizontal="center"/>
      <protection hidden="1"/>
    </xf>
    <xf numFmtId="0" fontId="9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92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 applyProtection="1">
      <alignment horizontal="left"/>
      <protection hidden="1"/>
    </xf>
    <xf numFmtId="4" fontId="0" fillId="33" borderId="57" xfId="0" applyNumberFormat="1" applyFont="1" applyFill="1" applyBorder="1" applyAlignment="1" applyProtection="1">
      <alignment horizontal="center" vertical="top"/>
      <protection locked="0"/>
    </xf>
    <xf numFmtId="14" fontId="0" fillId="33" borderId="57" xfId="0" applyNumberFormat="1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104" fillId="0" borderId="0" xfId="0" applyFont="1" applyFill="1" applyAlignment="1" applyProtection="1">
      <alignment horizontal="left" vertical="top"/>
      <protection hidden="1"/>
    </xf>
    <xf numFmtId="0" fontId="94" fillId="4" borderId="0" xfId="0" applyFont="1" applyFill="1" applyBorder="1" applyAlignment="1" applyProtection="1">
      <alignment horizontal="center"/>
      <protection hidden="1"/>
    </xf>
    <xf numFmtId="0" fontId="0" fillId="4" borderId="57" xfId="0" applyFill="1" applyBorder="1" applyAlignment="1" applyProtection="1">
      <alignment horizontal="center" vertical="center"/>
      <protection hidden="1"/>
    </xf>
    <xf numFmtId="0" fontId="104" fillId="0" borderId="43" xfId="0" applyFont="1" applyFill="1" applyBorder="1" applyAlignment="1" applyProtection="1">
      <alignment horizontal="center" vertical="top"/>
      <protection hidden="1"/>
    </xf>
    <xf numFmtId="0" fontId="104" fillId="0" borderId="0" xfId="0" applyFont="1" applyAlignment="1" applyProtection="1">
      <alignment horizontal="center" vertical="top"/>
      <protection hidden="1"/>
    </xf>
    <xf numFmtId="0" fontId="106" fillId="0" borderId="43" xfId="0" applyFont="1" applyBorder="1" applyAlignment="1" applyProtection="1">
      <alignment horizontal="center"/>
      <protection hidden="1"/>
    </xf>
    <xf numFmtId="0" fontId="142" fillId="0" borderId="0" xfId="0" applyFont="1" applyAlignment="1" applyProtection="1">
      <alignment horizontal="left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94" fillId="4" borderId="0" xfId="0" applyFont="1" applyFill="1" applyAlignment="1" applyProtection="1">
      <alignment horizontal="center" vertical="center"/>
      <protection hidden="1"/>
    </xf>
    <xf numFmtId="0" fontId="105" fillId="4" borderId="0" xfId="0" applyFont="1" applyFill="1" applyAlignment="1" applyProtection="1">
      <alignment horizontal="center" vertical="center" wrapText="1"/>
      <protection hidden="1"/>
    </xf>
    <xf numFmtId="0" fontId="140" fillId="4" borderId="0" xfId="0" applyFont="1" applyFill="1" applyAlignment="1" applyProtection="1">
      <alignment horizontal="center" vertical="center" wrapText="1"/>
      <protection hidden="1"/>
    </xf>
    <xf numFmtId="0" fontId="105" fillId="0" borderId="0" xfId="0" applyFont="1" applyAlignment="1" applyProtection="1">
      <alignment horizontal="left" vertical="top" wrapText="1"/>
      <protection hidden="1"/>
    </xf>
    <xf numFmtId="0" fontId="0" fillId="4" borderId="57" xfId="0" applyFill="1" applyBorder="1" applyAlignment="1" applyProtection="1">
      <alignment horizontal="left"/>
      <protection hidden="1"/>
    </xf>
    <xf numFmtId="0" fontId="0" fillId="4" borderId="22" xfId="0" applyFill="1" applyBorder="1" applyAlignment="1" applyProtection="1">
      <alignment horizontal="left"/>
      <protection hidden="1"/>
    </xf>
    <xf numFmtId="0" fontId="0" fillId="33" borderId="57" xfId="0" applyFill="1" applyBorder="1" applyAlignment="1" applyProtection="1">
      <alignment horizontal="left"/>
      <protection locked="0"/>
    </xf>
    <xf numFmtId="0" fontId="74" fillId="0" borderId="0" xfId="0" applyFont="1" applyAlignment="1" applyProtection="1">
      <alignment horizontal="left" vertical="center"/>
      <protection hidden="1"/>
    </xf>
    <xf numFmtId="0" fontId="91" fillId="0" borderId="127" xfId="0" applyFont="1" applyBorder="1" applyAlignment="1" applyProtection="1">
      <alignment horizontal="center" vertical="center"/>
      <protection hidden="1"/>
    </xf>
    <xf numFmtId="0" fontId="91" fillId="0" borderId="109" xfId="0" applyFont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horizontal="center" vertical="center"/>
      <protection hidden="1"/>
    </xf>
    <xf numFmtId="0" fontId="47" fillId="0" borderId="115" xfId="0" applyFont="1" applyBorder="1" applyAlignment="1" applyProtection="1">
      <alignment horizontal="center" vertical="center"/>
      <protection hidden="1"/>
    </xf>
    <xf numFmtId="0" fontId="47" fillId="0" borderId="128" xfId="0" applyFont="1" applyBorder="1" applyAlignment="1" applyProtection="1">
      <alignment horizontal="center" vertical="center"/>
      <protection hidden="1"/>
    </xf>
    <xf numFmtId="0" fontId="47" fillId="0" borderId="63" xfId="0" applyFont="1" applyBorder="1" applyAlignment="1" applyProtection="1">
      <alignment horizontal="center" vertical="center"/>
      <protection hidden="1"/>
    </xf>
    <xf numFmtId="0" fontId="47" fillId="0" borderId="129" xfId="0" applyFont="1" applyBorder="1" applyAlignment="1" applyProtection="1">
      <alignment horizontal="center" vertical="center"/>
      <protection hidden="1"/>
    </xf>
    <xf numFmtId="0" fontId="93" fillId="0" borderId="115" xfId="0" applyFont="1" applyBorder="1" applyAlignment="1" applyProtection="1">
      <alignment horizontal="center"/>
      <protection hidden="1"/>
    </xf>
    <xf numFmtId="0" fontId="93" fillId="0" borderId="43" xfId="0" applyFont="1" applyBorder="1" applyAlignment="1" applyProtection="1">
      <alignment horizontal="center"/>
      <protection hidden="1"/>
    </xf>
    <xf numFmtId="0" fontId="93" fillId="0" borderId="127" xfId="0" applyFont="1" applyBorder="1" applyAlignment="1" applyProtection="1">
      <alignment horizontal="center"/>
      <protection hidden="1"/>
    </xf>
    <xf numFmtId="0" fontId="43" fillId="4" borderId="0" xfId="0" applyFont="1" applyFill="1" applyAlignment="1" applyProtection="1">
      <alignment horizontal="center"/>
      <protection hidden="1"/>
    </xf>
    <xf numFmtId="0" fontId="94" fillId="4" borderId="0" xfId="0" applyFont="1" applyFill="1" applyAlignment="1" applyProtection="1">
      <alignment horizontal="center"/>
      <protection hidden="1"/>
    </xf>
    <xf numFmtId="0" fontId="94" fillId="0" borderId="0" xfId="0" applyFont="1" applyAlignment="1" applyProtection="1">
      <alignment horizontal="left"/>
      <protection hidden="1"/>
    </xf>
    <xf numFmtId="0" fontId="94" fillId="0" borderId="0" xfId="0" applyFont="1" applyAlignment="1" applyProtection="1">
      <alignment horizontal="center" vertical="center"/>
      <protection hidden="1"/>
    </xf>
    <xf numFmtId="0" fontId="0" fillId="4" borderId="57" xfId="0" applyFont="1" applyFill="1" applyBorder="1" applyAlignment="1" applyProtection="1">
      <alignment horizontal="center"/>
      <protection hidden="1"/>
    </xf>
    <xf numFmtId="0" fontId="48" fillId="0" borderId="65" xfId="0" applyFont="1" applyBorder="1" applyAlignment="1" applyProtection="1">
      <alignment horizontal="center" vertical="center"/>
      <protection hidden="1"/>
    </xf>
    <xf numFmtId="0" fontId="48" fillId="0" borderId="23" xfId="0" applyFont="1" applyBorder="1" applyAlignment="1" applyProtection="1">
      <alignment horizontal="center" vertical="center"/>
      <protection hidden="1"/>
    </xf>
    <xf numFmtId="0" fontId="75" fillId="0" borderId="0" xfId="0" applyFont="1" applyAlignment="1" applyProtection="1">
      <alignment horizontal="left" vertical="top"/>
      <protection hidden="1"/>
    </xf>
    <xf numFmtId="0" fontId="43" fillId="4" borderId="0" xfId="0" applyFont="1" applyFill="1" applyAlignment="1" applyProtection="1">
      <alignment horizontal="center" vertical="center"/>
      <protection hidden="1"/>
    </xf>
    <xf numFmtId="0" fontId="43" fillId="33" borderId="0" xfId="0" applyFont="1" applyFill="1" applyAlignment="1" applyProtection="1">
      <alignment horizontal="center" vertical="center"/>
      <protection locked="0"/>
    </xf>
    <xf numFmtId="0" fontId="43" fillId="0" borderId="114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72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hidden="1"/>
    </xf>
    <xf numFmtId="0" fontId="92" fillId="0" borderId="113" xfId="0" applyFont="1" applyBorder="1" applyAlignment="1" applyProtection="1">
      <alignment horizontal="center" vertical="center"/>
      <protection hidden="1"/>
    </xf>
    <xf numFmtId="0" fontId="92" fillId="0" borderId="41" xfId="0" applyFont="1" applyBorder="1" applyAlignment="1" applyProtection="1">
      <alignment horizontal="center" vertical="center"/>
      <protection hidden="1"/>
    </xf>
    <xf numFmtId="0" fontId="92" fillId="0" borderId="130" xfId="0" applyFont="1" applyBorder="1" applyAlignment="1" applyProtection="1">
      <alignment horizontal="center"/>
      <protection hidden="1"/>
    </xf>
    <xf numFmtId="0" fontId="92" fillId="0" borderId="44" xfId="0" applyFont="1" applyBorder="1" applyAlignment="1" applyProtection="1">
      <alignment horizontal="center"/>
      <protection hidden="1"/>
    </xf>
    <xf numFmtId="0" fontId="92" fillId="0" borderId="51" xfId="0" applyFont="1" applyBorder="1" applyAlignment="1" applyProtection="1">
      <alignment horizontal="center"/>
      <protection hidden="1"/>
    </xf>
    <xf numFmtId="0" fontId="92" fillId="0" borderId="0" xfId="0" applyFont="1" applyBorder="1" applyAlignment="1" applyProtection="1">
      <alignment horizontal="center"/>
      <protection hidden="1"/>
    </xf>
    <xf numFmtId="0" fontId="92" fillId="0" borderId="122" xfId="0" applyFont="1" applyBorder="1" applyAlignment="1" applyProtection="1">
      <alignment horizontal="center"/>
      <protection hidden="1"/>
    </xf>
    <xf numFmtId="0" fontId="116" fillId="0" borderId="0" xfId="0" applyFont="1" applyAlignment="1" applyProtection="1">
      <alignment horizontal="left" vertical="center"/>
      <protection hidden="1"/>
    </xf>
    <xf numFmtId="0" fontId="92" fillId="0" borderId="24" xfId="0" applyFont="1" applyBorder="1" applyAlignment="1" applyProtection="1">
      <alignment horizontal="center"/>
      <protection hidden="1"/>
    </xf>
    <xf numFmtId="0" fontId="92" fillId="0" borderId="45" xfId="0" applyFont="1" applyBorder="1" applyAlignment="1" applyProtection="1">
      <alignment horizontal="center"/>
      <protection hidden="1"/>
    </xf>
    <xf numFmtId="0" fontId="92" fillId="0" borderId="131" xfId="0" applyFont="1" applyBorder="1" applyAlignment="1" applyProtection="1">
      <alignment horizontal="center"/>
      <protection hidden="1"/>
    </xf>
    <xf numFmtId="0" fontId="92" fillId="0" borderId="132" xfId="0" applyFont="1" applyBorder="1" applyAlignment="1" applyProtection="1">
      <alignment horizontal="center"/>
      <protection hidden="1"/>
    </xf>
    <xf numFmtId="0" fontId="92" fillId="0" borderId="133" xfId="0" applyFont="1" applyBorder="1" applyAlignment="1" applyProtection="1">
      <alignment horizontal="center"/>
      <protection hidden="1"/>
    </xf>
    <xf numFmtId="0" fontId="92" fillId="0" borderId="25" xfId="0" applyFont="1" applyBorder="1" applyAlignment="1" applyProtection="1">
      <alignment horizontal="center"/>
      <protection hidden="1"/>
    </xf>
    <xf numFmtId="0" fontId="92" fillId="0" borderId="110" xfId="0" applyFont="1" applyBorder="1" applyAlignment="1" applyProtection="1">
      <alignment horizontal="center" vertical="center"/>
      <protection hidden="1"/>
    </xf>
    <xf numFmtId="0" fontId="92" fillId="0" borderId="134" xfId="0" applyFont="1" applyBorder="1" applyAlignment="1" applyProtection="1">
      <alignment horizontal="center" vertical="center"/>
      <protection hidden="1"/>
    </xf>
    <xf numFmtId="0" fontId="92" fillId="0" borderId="135" xfId="0" applyFont="1" applyBorder="1" applyAlignment="1" applyProtection="1">
      <alignment horizontal="center" vertical="center"/>
      <protection hidden="1"/>
    </xf>
    <xf numFmtId="0" fontId="92" fillId="0" borderId="0" xfId="0" applyFont="1" applyFill="1" applyBorder="1" applyAlignment="1" applyProtection="1">
      <alignment horizontal="center"/>
      <protection hidden="1"/>
    </xf>
    <xf numFmtId="0" fontId="92" fillId="0" borderId="43" xfId="0" applyFont="1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92" fillId="0" borderId="43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0" fontId="119" fillId="0" borderId="0" xfId="0" applyFont="1" applyFill="1" applyBorder="1" applyAlignment="1" applyProtection="1">
      <alignment horizontal="left"/>
      <protection hidden="1"/>
    </xf>
    <xf numFmtId="0" fontId="43" fillId="4" borderId="57" xfId="0" applyFont="1" applyFill="1" applyBorder="1" applyAlignment="1" applyProtection="1">
      <alignment horizontal="center"/>
      <protection hidden="1"/>
    </xf>
    <xf numFmtId="0" fontId="44" fillId="33" borderId="57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hidden="1"/>
    </xf>
    <xf numFmtId="0" fontId="119" fillId="0" borderId="0" xfId="0" applyFont="1" applyAlignment="1" applyProtection="1">
      <alignment horizontal="left"/>
      <protection hidden="1"/>
    </xf>
    <xf numFmtId="0" fontId="95" fillId="0" borderId="0" xfId="0" applyFont="1" applyBorder="1" applyAlignment="1" applyProtection="1">
      <alignment horizontal="center" vertical="center"/>
      <protection hidden="1"/>
    </xf>
    <xf numFmtId="0" fontId="94" fillId="0" borderId="42" xfId="0" applyFont="1" applyBorder="1" applyAlignment="1" applyProtection="1">
      <alignment horizontal="center"/>
      <protection hidden="1"/>
    </xf>
    <xf numFmtId="0" fontId="94" fillId="0" borderId="129" xfId="0" applyFont="1" applyBorder="1" applyAlignment="1" applyProtection="1">
      <alignment horizontal="center"/>
      <protection hidden="1"/>
    </xf>
    <xf numFmtId="0" fontId="94" fillId="0" borderId="136" xfId="0" applyFont="1" applyBorder="1" applyAlignment="1" applyProtection="1">
      <alignment horizontal="center"/>
      <protection hidden="1"/>
    </xf>
    <xf numFmtId="0" fontId="94" fillId="0" borderId="0" xfId="0" applyFont="1" applyBorder="1" applyAlignment="1" applyProtection="1">
      <alignment horizontal="center"/>
      <protection hidden="1"/>
    </xf>
    <xf numFmtId="0" fontId="94" fillId="0" borderId="130" xfId="0" applyFont="1" applyBorder="1" applyAlignment="1" applyProtection="1">
      <alignment horizontal="center"/>
      <protection hidden="1"/>
    </xf>
    <xf numFmtId="0" fontId="94" fillId="0" borderId="57" xfId="0" applyFont="1" applyBorder="1" applyAlignment="1" applyProtection="1">
      <alignment horizontal="center"/>
      <protection hidden="1"/>
    </xf>
    <xf numFmtId="0" fontId="94" fillId="0" borderId="137" xfId="0" applyFont="1" applyBorder="1" applyAlignment="1" applyProtection="1">
      <alignment horizontal="center"/>
      <protection hidden="1"/>
    </xf>
    <xf numFmtId="0" fontId="94" fillId="0" borderId="22" xfId="0" applyFont="1" applyBorder="1" applyAlignment="1" applyProtection="1">
      <alignment horizontal="center"/>
      <protection hidden="1"/>
    </xf>
    <xf numFmtId="0" fontId="94" fillId="0" borderId="138" xfId="0" applyFont="1" applyBorder="1" applyAlignment="1" applyProtection="1">
      <alignment horizontal="center"/>
      <protection hidden="1"/>
    </xf>
    <xf numFmtId="0" fontId="94" fillId="0" borderId="51" xfId="0" applyFont="1" applyBorder="1" applyAlignment="1" applyProtection="1">
      <alignment horizontal="center"/>
      <protection hidden="1"/>
    </xf>
    <xf numFmtId="0" fontId="94" fillId="0" borderId="63" xfId="0" applyFont="1" applyBorder="1" applyAlignment="1" applyProtection="1">
      <alignment horizontal="center"/>
      <protection hidden="1"/>
    </xf>
    <xf numFmtId="49" fontId="97" fillId="0" borderId="29" xfId="0" applyNumberFormat="1" applyFont="1" applyBorder="1" applyAlignment="1" applyProtection="1">
      <alignment horizontal="left" vertical="center"/>
      <protection hidden="1"/>
    </xf>
    <xf numFmtId="49" fontId="97" fillId="0" borderId="139" xfId="0" applyNumberFormat="1" applyFont="1" applyBorder="1" applyAlignment="1" applyProtection="1">
      <alignment horizontal="left" vertical="center"/>
      <protection hidden="1"/>
    </xf>
    <xf numFmtId="49" fontId="97" fillId="0" borderId="137" xfId="0" applyNumberFormat="1" applyFont="1" applyBorder="1" applyAlignment="1" applyProtection="1">
      <alignment horizontal="left" vertic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1" fontId="94" fillId="0" borderId="65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94" fillId="4" borderId="57" xfId="0" applyFont="1" applyFill="1" applyBorder="1" applyAlignment="1" applyProtection="1">
      <alignment horizontal="left"/>
      <protection hidden="1"/>
    </xf>
    <xf numFmtId="0" fontId="0" fillId="0" borderId="84" xfId="0" applyFont="1" applyBorder="1" applyAlignment="1" applyProtection="1">
      <alignment horizontal="center"/>
      <protection hidden="1"/>
    </xf>
    <xf numFmtId="0" fontId="0" fillId="0" borderId="112" xfId="0" applyFont="1" applyBorder="1" applyAlignment="1" applyProtection="1">
      <alignment horizontal="center"/>
      <protection hidden="1"/>
    </xf>
    <xf numFmtId="0" fontId="0" fillId="0" borderId="86" xfId="0" applyFont="1" applyBorder="1" applyAlignment="1" applyProtection="1">
      <alignment horizontal="center"/>
      <protection hidden="1"/>
    </xf>
    <xf numFmtId="0" fontId="110" fillId="0" borderId="22" xfId="0" applyFont="1" applyBorder="1" applyAlignment="1" applyProtection="1">
      <alignment horizontal="center" vertical="top"/>
      <protection hidden="1"/>
    </xf>
    <xf numFmtId="0" fontId="0" fillId="0" borderId="86" xfId="0" applyBorder="1" applyAlignment="1" applyProtection="1">
      <alignment horizontal="center"/>
      <protection hidden="1"/>
    </xf>
    <xf numFmtId="0" fontId="101" fillId="33" borderId="57" xfId="0" applyFont="1" applyFill="1" applyBorder="1" applyAlignment="1" applyProtection="1">
      <alignment horizontal="center"/>
      <protection locked="0"/>
    </xf>
    <xf numFmtId="2" fontId="44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Fill="1" applyAlignment="1" applyProtection="1">
      <alignment horizontal="left"/>
      <protection hidden="1"/>
    </xf>
    <xf numFmtId="2" fontId="119" fillId="0" borderId="0" xfId="0" applyNumberFormat="1" applyFont="1" applyFill="1" applyBorder="1" applyAlignment="1" applyProtection="1">
      <alignment horizontal="center"/>
      <protection hidden="1"/>
    </xf>
    <xf numFmtId="2" fontId="119" fillId="0" borderId="0" xfId="0" applyNumberFormat="1" applyFont="1" applyFill="1" applyBorder="1" applyAlignment="1" applyProtection="1">
      <alignment horizontal="left"/>
      <protection hidden="1"/>
    </xf>
    <xf numFmtId="2" fontId="44" fillId="0" borderId="0" xfId="0" applyNumberFormat="1" applyFont="1" applyAlignment="1" applyProtection="1">
      <alignment horizontal="center"/>
      <protection hidden="1"/>
    </xf>
    <xf numFmtId="2" fontId="44" fillId="33" borderId="43" xfId="0" applyNumberFormat="1" applyFont="1" applyFill="1" applyBorder="1" applyAlignment="1" applyProtection="1">
      <alignment horizontal="center"/>
      <protection locked="0"/>
    </xf>
    <xf numFmtId="2" fontId="44" fillId="33" borderId="57" xfId="0" applyNumberFormat="1" applyFont="1" applyFill="1" applyBorder="1" applyAlignment="1" applyProtection="1">
      <alignment horizontal="center"/>
      <protection locked="0"/>
    </xf>
    <xf numFmtId="2" fontId="44" fillId="33" borderId="2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hidden="1"/>
    </xf>
    <xf numFmtId="2" fontId="116" fillId="0" borderId="0" xfId="0" applyNumberFormat="1" applyFont="1" applyAlignment="1" applyProtection="1">
      <alignment horizontal="left" vertical="center"/>
      <protection hidden="1"/>
    </xf>
    <xf numFmtId="2" fontId="43" fillId="0" borderId="0" xfId="0" applyNumberFormat="1" applyFont="1" applyAlignment="1" applyProtection="1">
      <alignment horizontal="left"/>
      <protection hidden="1"/>
    </xf>
    <xf numFmtId="2" fontId="94" fillId="4" borderId="0" xfId="0" applyNumberFormat="1" applyFont="1" applyFill="1" applyAlignment="1" applyProtection="1">
      <alignment horizontal="center"/>
      <protection hidden="1"/>
    </xf>
    <xf numFmtId="2" fontId="43" fillId="4" borderId="57" xfId="0" applyNumberFormat="1" applyFont="1" applyFill="1" applyBorder="1" applyAlignment="1" applyProtection="1">
      <alignment horizontal="center"/>
      <protection hidden="1"/>
    </xf>
    <xf numFmtId="2" fontId="0" fillId="4" borderId="57" xfId="0" applyNumberFormat="1" applyFill="1" applyBorder="1" applyAlignment="1" applyProtection="1">
      <alignment horizontal="center"/>
      <protection hidden="1"/>
    </xf>
    <xf numFmtId="0" fontId="44" fillId="33" borderId="22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hidden="1"/>
    </xf>
    <xf numFmtId="0" fontId="116" fillId="0" borderId="0" xfId="0" applyFont="1" applyAlignment="1" applyProtection="1">
      <alignment horizontal="center"/>
      <protection hidden="1"/>
    </xf>
    <xf numFmtId="0" fontId="94" fillId="0" borderId="0" xfId="0" applyFont="1" applyBorder="1" applyAlignment="1" applyProtection="1">
      <alignment horizontal="left"/>
      <protection hidden="1"/>
    </xf>
    <xf numFmtId="0" fontId="94" fillId="0" borderId="0" xfId="0" applyFont="1" applyFill="1" applyBorder="1" applyAlignment="1" applyProtection="1">
      <alignment horizontal="left"/>
      <protection hidden="1"/>
    </xf>
    <xf numFmtId="0" fontId="44" fillId="33" borderId="57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97" fillId="0" borderId="65" xfId="0" applyFont="1" applyBorder="1" applyAlignment="1" applyProtection="1">
      <alignment horizontal="center" vertical="center"/>
      <protection hidden="1"/>
    </xf>
    <xf numFmtId="0" fontId="97" fillId="0" borderId="22" xfId="0" applyFont="1" applyBorder="1" applyAlignment="1" applyProtection="1">
      <alignment horizontal="center" vertical="center"/>
      <protection hidden="1"/>
    </xf>
    <xf numFmtId="0" fontId="97" fillId="0" borderId="23" xfId="0" applyFont="1" applyBorder="1" applyAlignment="1" applyProtection="1">
      <alignment horizontal="center" vertical="center"/>
      <protection hidden="1"/>
    </xf>
    <xf numFmtId="0" fontId="92" fillId="0" borderId="139" xfId="0" applyFont="1" applyBorder="1" applyAlignment="1" applyProtection="1">
      <alignment horizontal="center" vertical="center"/>
      <protection hidden="1"/>
    </xf>
    <xf numFmtId="0" fontId="94" fillId="33" borderId="47" xfId="0" applyFont="1" applyFill="1" applyBorder="1" applyAlignment="1" applyProtection="1">
      <alignment horizontal="center" vertical="center"/>
      <protection locked="0"/>
    </xf>
    <xf numFmtId="0" fontId="94" fillId="33" borderId="48" xfId="0" applyFont="1" applyFill="1" applyBorder="1" applyAlignment="1" applyProtection="1">
      <alignment horizontal="center" vertical="center"/>
      <protection locked="0"/>
    </xf>
    <xf numFmtId="0" fontId="97" fillId="0" borderId="65" xfId="0" applyFont="1" applyFill="1" applyBorder="1" applyAlignment="1" applyProtection="1">
      <alignment horizontal="center"/>
      <protection hidden="1"/>
    </xf>
    <xf numFmtId="0" fontId="97" fillId="0" borderId="22" xfId="0" applyFont="1" applyFill="1" applyBorder="1" applyAlignment="1" applyProtection="1">
      <alignment horizontal="center"/>
      <protection hidden="1"/>
    </xf>
    <xf numFmtId="0" fontId="94" fillId="33" borderId="32" xfId="0" applyFont="1" applyFill="1" applyBorder="1" applyAlignment="1" applyProtection="1">
      <alignment horizontal="center" vertical="center"/>
      <protection locked="0"/>
    </xf>
    <xf numFmtId="0" fontId="94" fillId="33" borderId="33" xfId="0" applyFont="1" applyFill="1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94" fillId="33" borderId="26" xfId="0" applyFont="1" applyFill="1" applyBorder="1" applyAlignment="1" applyProtection="1">
      <alignment horizontal="center" vertical="center"/>
      <protection locked="0"/>
    </xf>
    <xf numFmtId="0" fontId="92" fillId="0" borderId="29" xfId="0" applyFont="1" applyBorder="1" applyAlignment="1" applyProtection="1">
      <alignment horizontal="center" vertical="center"/>
      <protection hidden="1"/>
    </xf>
    <xf numFmtId="0" fontId="94" fillId="33" borderId="49" xfId="0" applyFont="1" applyFill="1" applyBorder="1" applyAlignment="1" applyProtection="1">
      <alignment horizontal="center" vertical="center"/>
      <protection locked="0"/>
    </xf>
    <xf numFmtId="0" fontId="94" fillId="33" borderId="28" xfId="0" applyFont="1" applyFill="1" applyBorder="1" applyAlignment="1" applyProtection="1">
      <alignment horizontal="center" vertical="center"/>
      <protection locked="0"/>
    </xf>
    <xf numFmtId="0" fontId="94" fillId="33" borderId="21" xfId="0" applyFont="1" applyFill="1" applyBorder="1" applyAlignment="1" applyProtection="1">
      <alignment horizontal="center" vertical="center"/>
      <protection locked="0"/>
    </xf>
    <xf numFmtId="0" fontId="94" fillId="0" borderId="84" xfId="0" applyFont="1" applyBorder="1" applyAlignment="1" applyProtection="1">
      <alignment horizontal="center"/>
      <protection hidden="1"/>
    </xf>
    <xf numFmtId="0" fontId="94" fillId="0" borderId="112" xfId="0" applyFont="1" applyBorder="1" applyAlignment="1" applyProtection="1">
      <alignment horizontal="center"/>
      <protection hidden="1"/>
    </xf>
    <xf numFmtId="0" fontId="94" fillId="0" borderId="86" xfId="0" applyFont="1" applyBorder="1" applyAlignment="1" applyProtection="1">
      <alignment horizontal="center"/>
      <protection hidden="1"/>
    </xf>
    <xf numFmtId="0" fontId="94" fillId="0" borderId="26" xfId="0" applyFont="1" applyBorder="1" applyAlignment="1" applyProtection="1">
      <alignment horizontal="center"/>
      <protection hidden="1"/>
    </xf>
    <xf numFmtId="0" fontId="94" fillId="0" borderId="47" xfId="0" applyFont="1" applyBorder="1" applyAlignment="1" applyProtection="1">
      <alignment horizontal="center"/>
      <protection hidden="1"/>
    </xf>
    <xf numFmtId="0" fontId="94" fillId="0" borderId="48" xfId="0" applyFont="1" applyBorder="1" applyAlignment="1" applyProtection="1">
      <alignment horizontal="center"/>
      <protection hidden="1"/>
    </xf>
    <xf numFmtId="0" fontId="94" fillId="0" borderId="27" xfId="0" applyFont="1" applyBorder="1" applyAlignment="1" applyProtection="1">
      <alignment horizontal="center"/>
      <protection hidden="1"/>
    </xf>
    <xf numFmtId="0" fontId="94" fillId="0" borderId="49" xfId="0" applyFont="1" applyBorder="1" applyAlignment="1" applyProtection="1">
      <alignment horizontal="center"/>
      <protection hidden="1"/>
    </xf>
    <xf numFmtId="0" fontId="94" fillId="0" borderId="50" xfId="0" applyFont="1" applyBorder="1" applyAlignment="1" applyProtection="1">
      <alignment horizontal="center"/>
      <protection hidden="1"/>
    </xf>
    <xf numFmtId="0" fontId="92" fillId="0" borderId="30" xfId="0" applyFont="1" applyBorder="1" applyAlignment="1" applyProtection="1">
      <alignment horizontal="center" vertical="center"/>
      <protection hidden="1"/>
    </xf>
    <xf numFmtId="0" fontId="94" fillId="33" borderId="31" xfId="0" applyFont="1" applyFill="1" applyBorder="1" applyAlignment="1" applyProtection="1">
      <alignment horizontal="center" vertical="center"/>
      <protection locked="0"/>
    </xf>
    <xf numFmtId="0" fontId="94" fillId="33" borderId="17" xfId="0" applyFont="1" applyFill="1" applyBorder="1" applyAlignment="1" applyProtection="1">
      <alignment horizontal="center" vertical="center"/>
      <protection locked="0"/>
    </xf>
    <xf numFmtId="0" fontId="94" fillId="33" borderId="112" xfId="0" applyFont="1" applyFill="1" applyBorder="1" applyAlignment="1" applyProtection="1">
      <alignment horizontal="center" vertical="center"/>
      <protection locked="0"/>
    </xf>
    <xf numFmtId="0" fontId="94" fillId="33" borderId="86" xfId="0" applyFont="1" applyFill="1" applyBorder="1" applyAlignment="1" applyProtection="1">
      <alignment horizontal="center" vertical="center"/>
      <protection locked="0"/>
    </xf>
    <xf numFmtId="0" fontId="94" fillId="33" borderId="36" xfId="0" applyFont="1" applyFill="1" applyBorder="1" applyAlignment="1" applyProtection="1">
      <alignment horizontal="center" vertical="center"/>
      <protection locked="0"/>
    </xf>
    <xf numFmtId="0" fontId="94" fillId="33" borderId="37" xfId="0" applyFont="1" applyFill="1" applyBorder="1" applyAlignment="1" applyProtection="1">
      <alignment horizontal="center" vertical="center"/>
      <protection locked="0"/>
    </xf>
    <xf numFmtId="0" fontId="94" fillId="33" borderId="8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19050</xdr:rowOff>
    </xdr:from>
    <xdr:to>
      <xdr:col>2</xdr:col>
      <xdr:colOff>1428750</xdr:colOff>
      <xdr:row>13</xdr:row>
      <xdr:rowOff>142875</xdr:rowOff>
    </xdr:to>
    <xdr:pic>
      <xdr:nvPicPr>
        <xdr:cNvPr id="1" name="Slika 2" descr="logo + znak_gla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47875"/>
          <a:ext cx="1419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25</xdr:row>
      <xdr:rowOff>152400</xdr:rowOff>
    </xdr:from>
    <xdr:to>
      <xdr:col>2</xdr:col>
      <xdr:colOff>2371725</xdr:colOff>
      <xdr:row>27</xdr:row>
      <xdr:rowOff>104775</xdr:rowOff>
    </xdr:to>
    <xdr:pic>
      <xdr:nvPicPr>
        <xdr:cNvPr id="2" name="Slika 1" descr="http://www.mizs.gov.si/fileadmin/mizs.gov.si/pageuploads/slike/MIZS_sl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2578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32</xdr:row>
      <xdr:rowOff>28575</xdr:rowOff>
    </xdr:from>
    <xdr:to>
      <xdr:col>2</xdr:col>
      <xdr:colOff>1866900</xdr:colOff>
      <xdr:row>36</xdr:row>
      <xdr:rowOff>190500</xdr:rowOff>
    </xdr:to>
    <xdr:pic>
      <xdr:nvPicPr>
        <xdr:cNvPr id="3" name="Slika 4" descr="Logo_EKP_socialni_sklad_SLO_slog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7286625"/>
          <a:ext cx="1981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523875</xdr:colOff>
      <xdr:row>63</xdr:row>
      <xdr:rowOff>66675</xdr:rowOff>
    </xdr:from>
    <xdr:ext cx="200025" cy="962025"/>
    <xdr:sp>
      <xdr:nvSpPr>
        <xdr:cNvPr id="1" name="Pravokotnik 2"/>
        <xdr:cNvSpPr>
          <a:spLocks/>
        </xdr:cNvSpPr>
      </xdr:nvSpPr>
      <xdr:spPr>
        <a:xfrm>
          <a:off x="8648700" y="10658475"/>
          <a:ext cx="200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showGridLines="0" zoomScalePageLayoutView="0" workbookViewId="0" topLeftCell="A22">
      <selection activeCell="C49" sqref="C49"/>
    </sheetView>
  </sheetViews>
  <sheetFormatPr defaultColWidth="9.140625" defaultRowHeight="15"/>
  <cols>
    <col min="1" max="2" width="2.8515625" style="4" customWidth="1"/>
    <col min="3" max="3" width="50.00390625" style="4" customWidth="1"/>
    <col min="4" max="4" width="68.57421875" style="4" customWidth="1"/>
    <col min="5" max="5" width="11.7109375" style="4" customWidth="1"/>
    <col min="6" max="6" width="18.140625" style="4" bestFit="1" customWidth="1"/>
    <col min="7" max="7" width="22.7109375" style="4" customWidth="1"/>
    <col min="8" max="8" width="8.8515625" style="4" hidden="1" customWidth="1"/>
    <col min="9" max="9" width="14.00390625" style="4" hidden="1" customWidth="1"/>
    <col min="10" max="10" width="11.8515625" style="4" hidden="1" customWidth="1"/>
    <col min="11" max="11" width="6.7109375" style="4" hidden="1" customWidth="1"/>
    <col min="12" max="12" width="6.28125" style="4" hidden="1" customWidth="1"/>
    <col min="13" max="13" width="4.140625" style="4" hidden="1" customWidth="1"/>
    <col min="14" max="14" width="5.421875" style="4" hidden="1" customWidth="1"/>
    <col min="15" max="18" width="8.8515625" style="4" customWidth="1"/>
    <col min="19" max="16384" width="8.8515625" style="4" customWidth="1"/>
  </cols>
  <sheetData>
    <row r="2" spans="2:7" ht="18">
      <c r="B2" s="549">
        <f>IF('obrazec 1'!F4="","",'obrazec 1'!F4)</f>
      </c>
      <c r="C2" s="549"/>
      <c r="D2" s="549"/>
      <c r="E2" s="549"/>
      <c r="F2" s="549"/>
      <c r="G2" s="549"/>
    </row>
    <row r="3" ht="15" thickBot="1">
      <c r="G3"/>
    </row>
    <row r="4" spans="2:7" ht="16.5" customHeight="1" thickBot="1" thickTop="1">
      <c r="B4" s="552" t="s">
        <v>11</v>
      </c>
      <c r="C4" s="553"/>
      <c r="D4" s="368" t="s">
        <v>13</v>
      </c>
      <c r="E4" s="370" t="s">
        <v>266</v>
      </c>
      <c r="F4" s="369" t="s">
        <v>12</v>
      </c>
      <c r="G4" s="147" t="s">
        <v>10</v>
      </c>
    </row>
    <row r="5" spans="2:7" ht="16.5" customHeight="1" thickBot="1">
      <c r="B5" s="243">
        <v>1</v>
      </c>
      <c r="C5" s="527" t="s">
        <v>350</v>
      </c>
      <c r="D5" s="528"/>
      <c r="E5" s="529"/>
      <c r="F5" s="530" t="s">
        <v>456</v>
      </c>
      <c r="G5" s="150"/>
    </row>
    <row r="6" spans="2:7" ht="16.5" customHeight="1" thickBot="1">
      <c r="B6" s="360"/>
      <c r="C6" s="531"/>
      <c r="D6" s="546" t="s">
        <v>476</v>
      </c>
      <c r="E6" s="532"/>
      <c r="F6" s="533"/>
      <c r="G6" s="364">
        <f>IF('obrazec 2'!$G$44="","",IF('obrazec 2'!$G$44="DA",10,5))</f>
      </c>
    </row>
    <row r="7" spans="2:8" ht="15.75" thickBot="1">
      <c r="B7" s="243">
        <v>2</v>
      </c>
      <c r="C7" s="248" t="s">
        <v>411</v>
      </c>
      <c r="D7" s="148"/>
      <c r="E7" s="149"/>
      <c r="F7" s="373" t="s">
        <v>455</v>
      </c>
      <c r="G7" s="150"/>
      <c r="H7" s="3"/>
    </row>
    <row r="8" spans="2:7" ht="15.75" thickBot="1">
      <c r="B8" s="550"/>
      <c r="C8" s="551"/>
      <c r="D8" s="372" t="s">
        <v>418</v>
      </c>
      <c r="E8" s="371"/>
      <c r="F8" s="540">
        <f>IF(B2="","",IF(G8="","NAPAKA - vpiši podatek pod točko 5 na obrazcu 1",""))</f>
      </c>
      <c r="G8" s="151">
        <f>IF('obrazec 1'!$H$84="","",IF(ROUND(('obrazec 4'!$O$34+'obrazec 4a'!$O$35+'obrazec 4b'!$O$35+'obrazec 4 - OŠPP'!$P$32)/'obrazec 1'!$H$84*100,2)&gt;=25,25,ROUND(('obrazec 4'!$O$34+'obrazec 4a'!$O$35+'obrazec 4b'!$O$35+'obrazec 4 - OŠPP'!$P$32)/'obrazec 1'!$H$84*100,2)))</f>
      </c>
    </row>
    <row r="9" spans="2:7" ht="15.75" thickBot="1">
      <c r="B9" s="244">
        <v>3</v>
      </c>
      <c r="C9" s="247" t="s">
        <v>268</v>
      </c>
      <c r="D9" s="152"/>
      <c r="E9" s="153"/>
      <c r="F9" s="374" t="s">
        <v>352</v>
      </c>
      <c r="G9" s="154"/>
    </row>
    <row r="10" spans="2:12" ht="15" customHeight="1">
      <c r="B10" s="560"/>
      <c r="C10" s="561"/>
      <c r="D10" s="382" t="s">
        <v>421</v>
      </c>
      <c r="E10" s="383"/>
      <c r="F10" s="384">
        <v>15</v>
      </c>
      <c r="G10" s="385">
        <f>IF('obrazec 2'!$A$3="","",IF(AND('Zbirni obrazec'!$N$12=15,'obrazec 2'!$D$30&lt;&gt;"",'obrazec 2'!$H$33=""),15,IF(AND('Zbirni obrazec'!$N$12=15,'obrazec 2'!$D$30&lt;&gt;"",'obrazec 2'!$H$33&lt;&gt;"",'obrazec 2'!$G$33="DA"),"NAPAKA",IF(AND('obrazec 2'!$G$33="DA",'obrazec 2'!H33=""),15,IF($N$12&lt;&gt;15,"","NAPAKA")))))</f>
      </c>
      <c r="J10" s="4">
        <v>0</v>
      </c>
      <c r="K10" s="4">
        <v>0</v>
      </c>
      <c r="L10" s="4">
        <v>15</v>
      </c>
    </row>
    <row r="11" spans="2:12" ht="15">
      <c r="B11" s="562"/>
      <c r="C11" s="563"/>
      <c r="D11" s="386" t="s">
        <v>422</v>
      </c>
      <c r="E11" s="387"/>
      <c r="F11" s="388">
        <v>7</v>
      </c>
      <c r="G11" s="389">
        <f>IF('obrazec 2'!$A$3="","",IF(AND('Zbirni obrazec'!$N$12=7,'obrazec 2'!$H$33=""),7,IF(AND('Zbirni obrazec'!$N$12=7,'obrazec 2'!$H$33&lt;&gt;""),"NAPAKA","")))</f>
      </c>
      <c r="J11" s="4">
        <v>0.001</v>
      </c>
      <c r="K11" s="4">
        <v>50</v>
      </c>
      <c r="L11" s="4">
        <v>7</v>
      </c>
    </row>
    <row r="12" spans="2:14" ht="15" customHeight="1">
      <c r="B12" s="562"/>
      <c r="C12" s="563"/>
      <c r="D12" s="386" t="s">
        <v>423</v>
      </c>
      <c r="E12" s="387"/>
      <c r="F12" s="388">
        <v>5</v>
      </c>
      <c r="G12" s="389">
        <f>IF('obrazec 2'!$A$3="","",IF(AND('Zbirni obrazec'!$N$12=5,'obrazec 2'!$H$33=""),5,IF(AND('Zbirni obrazec'!$N$12=5,'obrazec 2'!$H$33&lt;&gt;""),"NAPAKA","")))</f>
      </c>
      <c r="J12" s="4">
        <v>50.001</v>
      </c>
      <c r="K12" s="4">
        <v>60</v>
      </c>
      <c r="L12" s="4">
        <v>5</v>
      </c>
      <c r="N12" s="4">
        <f>VLOOKUP(('obrazec 2'!$G$10+'obrazec 2'!$G$14+'obrazec 2'!$G$18+'obrazec 2'!$G$22+'obrazec 2'!$G$26),'Zbirni obrazec'!$J$10:$L$15,3,TRUE)</f>
        <v>15</v>
      </c>
    </row>
    <row r="13" spans="2:12" ht="15" customHeight="1">
      <c r="B13" s="562"/>
      <c r="C13" s="563"/>
      <c r="D13" s="386" t="s">
        <v>424</v>
      </c>
      <c r="E13" s="387"/>
      <c r="F13" s="388">
        <v>3</v>
      </c>
      <c r="G13" s="389">
        <f>IF('obrazec 2'!$A$3="","",IF(AND('Zbirni obrazec'!$N$12=3,'obrazec 2'!$H$33=""),3,IF(AND('Zbirni obrazec'!$N$12=3,'obrazec 2'!$H$33&lt;&gt;""),"NAPAKA","")))</f>
      </c>
      <c r="J13" s="4">
        <v>60.001</v>
      </c>
      <c r="K13" s="4">
        <v>70</v>
      </c>
      <c r="L13" s="4">
        <v>3</v>
      </c>
    </row>
    <row r="14" spans="2:12" ht="15" customHeight="1">
      <c r="B14" s="562"/>
      <c r="C14" s="563"/>
      <c r="D14" s="386" t="s">
        <v>425</v>
      </c>
      <c r="E14" s="387"/>
      <c r="F14" s="388">
        <v>2</v>
      </c>
      <c r="G14" s="389">
        <f>IF('obrazec 2'!$A$3="","",IF(AND('Zbirni obrazec'!$N$12=2,'obrazec 2'!$H$33=""),2,IF(AND('Zbirni obrazec'!$N$12=2,'obrazec 2'!$H$33&lt;&gt;""),"NAPAKA","")))</f>
      </c>
      <c r="J14" s="4">
        <v>70.001</v>
      </c>
      <c r="K14" s="4">
        <v>80</v>
      </c>
      <c r="L14" s="4">
        <v>2</v>
      </c>
    </row>
    <row r="15" spans="2:12" ht="15.75" thickBot="1">
      <c r="B15" s="564"/>
      <c r="C15" s="565"/>
      <c r="D15" s="390" t="s">
        <v>426</v>
      </c>
      <c r="E15" s="391"/>
      <c r="F15" s="392">
        <v>0</v>
      </c>
      <c r="G15" s="393">
        <f>IF('obrazec 2'!$A$3="","",IF(AND('Zbirni obrazec'!$N$12=0,'obrazec 2'!$H$33=""),0,IF(AND('Zbirni obrazec'!$N$12=0,'obrazec 2'!$H$33&lt;&gt;""),"NAPAKA","")))</f>
      </c>
      <c r="H15" s="118">
        <f>+IF(AND('obrazec 4 - OŠPPa'!$S$30=0,'obrazec 4 - OŠPPa'!$T$30=0),"",IF(AND('obrazec 4 - OŠPPa'!$A$32="",'obrazec 4 - OŠPPa'!$A$33=""),"","NAPAKA"))</f>
      </c>
      <c r="J15" s="4">
        <v>80.001</v>
      </c>
      <c r="L15" s="4">
        <v>0</v>
      </c>
    </row>
    <row r="16" spans="2:7" ht="15.75" thickBot="1">
      <c r="B16" s="244">
        <v>4</v>
      </c>
      <c r="C16" s="246" t="s">
        <v>410</v>
      </c>
      <c r="D16" s="158"/>
      <c r="E16" s="153"/>
      <c r="F16" s="375" t="s">
        <v>353</v>
      </c>
      <c r="G16" s="150">
        <f>IF(AND('obrazec 5'!$O$98=0,'obrazec 5'!$E$70="",H15=""),"",IF(AND('obrazec 5'!$AG$93&gt;0,'obrazec 5'!$Q$69&lt;&gt;""),"","NAPAKA"))</f>
      </c>
    </row>
    <row r="17" spans="2:7" ht="15">
      <c r="B17" s="554"/>
      <c r="C17" s="555"/>
      <c r="D17" s="159" t="s">
        <v>402</v>
      </c>
      <c r="E17" s="155"/>
      <c r="F17" s="160" t="s">
        <v>351</v>
      </c>
      <c r="G17" s="161" t="str">
        <f>IF(AND('obrazec 4'!O34=0,'obrazec 4a'!O35=0,'obrazec 4b'!O35=0,'obrazec 4 - OŠPP'!P32=0)," ",IF(OR(AND('obrazec 4'!$C$34=10,'obrazec 4'!A36=" ",'obrazec 4'!A37=" ",'obrazec 4a'!$C$35=10,'obrazec 4a'!A37=" ",'obrazec 4a'!A38=" ",'obrazec 4b'!$C$35=10,'obrazec 4b'!A37=" ",'obrazec 4b'!A38=" "),'obrazec 4 - OŠPP'!$D$32=9),10,IF(OR(AND('obrazec 4'!$C$34&lt;10,'obrazec 4'!A36=" ",'obrazec 4'!A37=" ",'obrazec 4a'!$C$35&lt;10,'obrazec 4a'!A37=" ",'obrazec 4a'!A38=" ",'obrazec 4b'!$C$35&lt;10,'obrazec 4b'!A37=" ",'obrazec 4b'!A38=" "),'obrazec 4 - OŠPP'!$D$32&lt;9),0,"NAPAKA")))</f>
        <v> </v>
      </c>
    </row>
    <row r="18" spans="2:7" ht="30.75">
      <c r="B18" s="556"/>
      <c r="C18" s="557"/>
      <c r="D18" s="162" t="s">
        <v>403</v>
      </c>
      <c r="E18" s="156"/>
      <c r="F18" s="241" t="s">
        <v>1</v>
      </c>
      <c r="G18" s="242">
        <f>IF(AND('obrazec 5'!$E$66="",'obrazec 5'!$O$98&gt;0),6,IF('obrazec 5'!$E$66&lt;&gt;"",0,""))</f>
      </c>
    </row>
    <row r="19" spans="2:7" ht="15" customHeight="1">
      <c r="B19" s="556"/>
      <c r="C19" s="557"/>
      <c r="D19" s="162" t="s">
        <v>0</v>
      </c>
      <c r="E19" s="156"/>
      <c r="F19" s="241" t="s">
        <v>2</v>
      </c>
      <c r="G19" s="242">
        <f>IF(AND('obrazec 5'!$E$67="",'obrazec 5'!$O$98&gt;0),5,IF('obrazec 5'!$E$67&lt;&gt;"",0,""))</f>
      </c>
    </row>
    <row r="20" spans="2:10" ht="15">
      <c r="B20" s="556"/>
      <c r="C20" s="557"/>
      <c r="D20" s="162" t="s">
        <v>427</v>
      </c>
      <c r="E20" s="156"/>
      <c r="F20" s="163" t="s">
        <v>2</v>
      </c>
      <c r="G20" s="157">
        <f>IF(AND('obrazec 6'!K8="",'obrazec 6 - OŠPP'!K8=""),"",IF(OR('obrazec 6'!K8="DA",'obrazec 6 - OŠPP'!K8="DA"),5,0))</f>
      </c>
      <c r="H20" s="41"/>
      <c r="J20" s="137"/>
    </row>
    <row r="21" spans="2:10" ht="15">
      <c r="B21" s="556"/>
      <c r="C21" s="557"/>
      <c r="D21" s="377" t="s">
        <v>3</v>
      </c>
      <c r="E21" s="380"/>
      <c r="F21" s="381" t="s">
        <v>4</v>
      </c>
      <c r="G21" s="161"/>
      <c r="J21" s="137"/>
    </row>
    <row r="22" spans="2:7" ht="15" customHeight="1">
      <c r="B22" s="556"/>
      <c r="C22" s="557"/>
      <c r="D22" s="394" t="s">
        <v>6</v>
      </c>
      <c r="E22" s="395"/>
      <c r="F22" s="396">
        <v>8</v>
      </c>
      <c r="G22" s="397" t="str">
        <f>IF(AND('obrazec 5'!$E$65=" ",'obrazec 5'!$O$98&gt;18),8,IF('obrazec 5'!$E$65&lt;&gt;" ","NAPAKA"," "))</f>
        <v> </v>
      </c>
    </row>
    <row r="23" spans="2:7" ht="15" customHeight="1">
      <c r="B23" s="556"/>
      <c r="C23" s="557"/>
      <c r="D23" s="386" t="s">
        <v>7</v>
      </c>
      <c r="E23" s="387"/>
      <c r="F23" s="388">
        <v>6</v>
      </c>
      <c r="G23" s="389" t="str">
        <f>IF(AND('obrazec 5'!$E$65=" ",OR('obrazec 5'!$O$98=18,'obrazec 5'!$O$98=17)),6,IF('obrazec 5'!$E$65&lt;&gt;" ","NAPAKA"," "))</f>
        <v> </v>
      </c>
    </row>
    <row r="24" spans="2:7" ht="15" customHeight="1">
      <c r="B24" s="556"/>
      <c r="C24" s="557"/>
      <c r="D24" s="386" t="s">
        <v>8</v>
      </c>
      <c r="E24" s="387"/>
      <c r="F24" s="388">
        <v>4</v>
      </c>
      <c r="G24" s="389" t="str">
        <f>IF(AND('obrazec 5'!$E$65=" ",OR('obrazec 5'!$O$98=15,'obrazec 5'!$O$98=16)),4,IF('obrazec 5'!$E$65&lt;&gt;" ","NAPAKA"," "))</f>
        <v> </v>
      </c>
    </row>
    <row r="25" spans="2:7" ht="15" customHeight="1">
      <c r="B25" s="556"/>
      <c r="C25" s="557"/>
      <c r="D25" s="386" t="s">
        <v>9</v>
      </c>
      <c r="E25" s="387"/>
      <c r="F25" s="388">
        <v>2</v>
      </c>
      <c r="G25" s="389" t="str">
        <f>IF(AND('obrazec 5'!$E$65=" ",OR('obrazec 5'!$O$98=13,'obrazec 5'!$O$98=14)),2,IF('obrazec 5'!$E$65&lt;&gt;" ","NAPAKA"," "))</f>
        <v> </v>
      </c>
    </row>
    <row r="26" spans="2:7" ht="15">
      <c r="B26" s="556"/>
      <c r="C26" s="557"/>
      <c r="D26" s="398">
        <v>12</v>
      </c>
      <c r="E26" s="399"/>
      <c r="F26" s="400">
        <v>0</v>
      </c>
      <c r="G26" s="401" t="str">
        <f>IF(AND('obrazec 5'!$E$65=" ",AND('obrazec 5'!$O$98&lt;=12,'obrazec 5'!$O$98&gt;0)),0,IF('obrazec 5'!$E$65&lt;&gt;" ","NAPAKA"," "))</f>
        <v> </v>
      </c>
    </row>
    <row r="27" spans="2:7" ht="15">
      <c r="B27" s="556"/>
      <c r="C27" s="557"/>
      <c r="D27" s="377" t="s">
        <v>404</v>
      </c>
      <c r="E27" s="378"/>
      <c r="F27" s="379" t="s">
        <v>5</v>
      </c>
      <c r="G27" s="161"/>
    </row>
    <row r="28" spans="2:7" ht="30.75">
      <c r="B28" s="556"/>
      <c r="C28" s="557"/>
      <c r="D28" s="402" t="s">
        <v>405</v>
      </c>
      <c r="E28" s="395"/>
      <c r="F28" s="403">
        <v>6</v>
      </c>
      <c r="G28" s="404">
        <f>IF(AND('obrazec 1'!$F$57="",'obrazec 1'!$B$59=""),"",IF('obrazec 1'!$F$57&lt;3,"NAPAKA",IF('obrazec 1'!$T$69=6,6,"")))</f>
      </c>
    </row>
    <row r="29" spans="2:14" ht="30.75">
      <c r="B29" s="556"/>
      <c r="C29" s="557"/>
      <c r="D29" s="405" t="s">
        <v>406</v>
      </c>
      <c r="E29" s="387"/>
      <c r="F29" s="406">
        <v>4</v>
      </c>
      <c r="G29" s="407">
        <f>IF(AND('obrazec 1'!$F$57="",'obrazec 1'!$B$59=""),"",IF('obrazec 1'!$F$57&lt;3,"NAPAKA",IF('obrazec 1'!$T$69=4,4,"")))</f>
      </c>
      <c r="J29" s="4" t="s">
        <v>325</v>
      </c>
      <c r="K29" s="4" t="s">
        <v>324</v>
      </c>
      <c r="L29" s="280">
        <v>16.4</v>
      </c>
      <c r="N29" s="4">
        <f>IF('obrazec 2'!$D$41="","",IF(AND('obrazec 2'!$D$41="BREZ",'obrazec 2'!$G$38="VI"),VLOOKUP('obrazec 2'!$G$38,'Zbirni obrazec'!$K$29:$L$31,2,FALSE),""))</f>
      </c>
    </row>
    <row r="30" spans="2:14" ht="30.75">
      <c r="B30" s="556"/>
      <c r="C30" s="557"/>
      <c r="D30" s="405" t="s">
        <v>407</v>
      </c>
      <c r="E30" s="387"/>
      <c r="F30" s="406">
        <v>2</v>
      </c>
      <c r="G30" s="407">
        <f>IF(AND('obrazec 1'!$F$57="",'obrazec 1'!$B$59=""),"",IF('obrazec 1'!$F$57&lt;3,"NAPAKA",IF('obrazec 1'!$T$69=2,2,"")))</f>
      </c>
      <c r="J30" s="4" t="s">
        <v>325</v>
      </c>
      <c r="K30" s="4" t="s">
        <v>327</v>
      </c>
      <c r="L30" s="280">
        <v>17.5</v>
      </c>
      <c r="N30" s="4">
        <f>IF('obrazec 2'!$D$41="","",IF(AND('obrazec 2'!$D$41="BREZ",'obrazec 2'!$G$38="VII/1"),VLOOKUP('obrazec 2'!$G$38,'Zbirni obrazec'!$K$29:$L$31,2,FALSE),""))</f>
      </c>
    </row>
    <row r="31" spans="2:14" ht="31.5" thickBot="1">
      <c r="B31" s="558"/>
      <c r="C31" s="559"/>
      <c r="D31" s="408" t="s">
        <v>408</v>
      </c>
      <c r="E31" s="391"/>
      <c r="F31" s="409">
        <v>0</v>
      </c>
      <c r="G31" s="410">
        <f>IF(AND('obrazec 1'!$F$57="",'obrazec 1'!$B$59=""),"",IF('obrazec 1'!$F$57&lt;3,"NAPAKA",IF('obrazec 1'!$T$69=0,0,"")))</f>
      </c>
      <c r="J31" s="4" t="s">
        <v>325</v>
      </c>
      <c r="K31" s="4" t="s">
        <v>329</v>
      </c>
      <c r="L31" s="280">
        <v>18.9</v>
      </c>
      <c r="N31" s="4">
        <f>IF('obrazec 2'!$D$41="","",IF(AND('obrazec 2'!$D$41="BREZ",'obrazec 2'!$G$38="VII/2"),VLOOKUP('obrazec 2'!$G$38,'Zbirni obrazec'!$K$29:$L$31,2,FALSE),""))</f>
      </c>
    </row>
    <row r="32" spans="2:14" ht="15.75" thickBot="1">
      <c r="B32" s="244">
        <v>5</v>
      </c>
      <c r="C32" s="245" t="s">
        <v>409</v>
      </c>
      <c r="D32" s="164"/>
      <c r="E32" s="153"/>
      <c r="F32" s="376" t="s">
        <v>267</v>
      </c>
      <c r="G32" s="150"/>
      <c r="J32" s="4" t="s">
        <v>326</v>
      </c>
      <c r="K32" s="4" t="s">
        <v>324</v>
      </c>
      <c r="L32" s="280">
        <v>17.5</v>
      </c>
      <c r="N32" s="4">
        <f>IF('obrazec 2'!$D$41="","",IF(AND('obrazec 2'!$D$41="MENTOR",'obrazec 2'!$G$38="VI"),VLOOKUP('obrazec 2'!$G$38,'Zbirni obrazec'!$K$32:$L$34,2,FALSE),""))</f>
      </c>
    </row>
    <row r="33" spans="2:14" ht="15" customHeight="1">
      <c r="B33" s="560"/>
      <c r="C33" s="561"/>
      <c r="D33" s="411" t="s">
        <v>428</v>
      </c>
      <c r="E33" s="383"/>
      <c r="F33" s="412">
        <v>10</v>
      </c>
      <c r="G33" s="385">
        <f>IF(AND('obrazec 6'!$BF$26=0,'obrazec 6 - OŠPP'!$BF$26=0,'obrazec 7'!$B$62=0,'obrazec 8'!$CE$20=0),"",IF(OR(AND('obrazec 6'!$BF$69&lt;&gt;"",'obrazec 6 - OŠPP'!$BF$69&lt;&gt;""),'obrazec 7'!$E$63&lt;&gt;"",'obrazec 8'!$A$21&lt;&gt;""),"NAPAKA",IF(AND(('obrazec 6'!$AT$23+'obrazec 6 - OŠPP'!$AT$23+'obrazec 7'!$B$62+'obrazec 8'!$CE$20)&lt;=723,('obrazec 6'!$AT$23+'obrazec 6 - OŠPP'!$AT$23+'obrazec 7'!$B$62+'obrazec 8'!$CE$20)&gt;649),10,IF(('obrazec 6'!$AT$23+'obrazec 6 - OŠPP'!$AT$23+'obrazec 7'!$B$62+'obrazec 8'!$CE$20)&gt;723,"VEČ KOT 723 UR",""))))</f>
      </c>
      <c r="J33" s="4" t="s">
        <v>326</v>
      </c>
      <c r="K33" s="4" t="s">
        <v>327</v>
      </c>
      <c r="L33" s="280">
        <v>18.9</v>
      </c>
      <c r="N33" s="4">
        <f>IF('obrazec 2'!$D$41="","",IF(AND('obrazec 2'!$D$41="MENTOR",'obrazec 2'!$G$38="VII/1"),VLOOKUP('obrazec 2'!$G$38,'Zbirni obrazec'!$K$32:$L$34,2,FALSE),""))</f>
      </c>
    </row>
    <row r="34" spans="2:14" ht="15">
      <c r="B34" s="562"/>
      <c r="C34" s="563"/>
      <c r="D34" s="413" t="s">
        <v>429</v>
      </c>
      <c r="E34" s="387"/>
      <c r="F34" s="414">
        <v>7</v>
      </c>
      <c r="G34" s="389">
        <f>IF(AND('obrazec 6'!$BF$26=0,'obrazec 6 - OŠPP'!$BF$26=0,'obrazec 7'!$B$62=0,'obrazec 8'!$CE$20=0),"",IF(OR(AND('obrazec 6'!$BF$69&lt;&gt;"",'obrazec 6 - OŠPP'!$BF$69&lt;&gt;""),'obrazec 7'!$E$63&lt;&gt;"",'obrazec 8'!$A$21&lt;&gt;""),"NAPAKA",IF(AND(('obrazec 6'!$AT$23+'obrazec 6 - OŠPP'!$AT$23+'obrazec 7'!$B$62+'obrazec 8'!$CE$20)&lt;=649,('obrazec 6'!$AT$23+'obrazec 6 - OŠPP'!$AT$23+'obrazec 7'!$B$62+'obrazec 8'!$CE$20)&gt;577),7,"")))</f>
      </c>
      <c r="J34" s="4" t="s">
        <v>326</v>
      </c>
      <c r="K34" s="4" t="s">
        <v>329</v>
      </c>
      <c r="L34" s="280">
        <v>20.8</v>
      </c>
      <c r="N34" s="4">
        <f>IF('obrazec 2'!$D$41="","",IF(AND('obrazec 2'!$D$41="MENTOR",'obrazec 2'!$G$38="VII/2"),VLOOKUP('obrazec 2'!$G$38,'Zbirni obrazec'!$K$32:$L$34,2,FALSE),""))</f>
      </c>
    </row>
    <row r="35" spans="2:14" ht="15">
      <c r="B35" s="562"/>
      <c r="C35" s="563"/>
      <c r="D35" s="413" t="s">
        <v>430</v>
      </c>
      <c r="E35" s="387"/>
      <c r="F35" s="414">
        <v>5</v>
      </c>
      <c r="G35" s="389">
        <f>IF(AND('obrazec 6'!$BF$26=0,'obrazec 6 - OŠPP'!$BF$26=0,'obrazec 7'!$B$62=0,'obrazec 8'!$CE$20=0),"",IF(OR(AND('obrazec 6'!$BF$69&lt;&gt;"",'obrazec 6 - OŠPP'!$BF$69&lt;&gt;""),'obrazec 7'!$E$63&lt;&gt;"",'obrazec 8'!$A$21&lt;&gt;""),"NAPAKA",IF(AND(('obrazec 6'!$AT$23+'obrazec 6 - OŠPP'!$AT$23+'obrazec 7'!$B$62+'obrazec 8'!$CE$20)&lt;=577,('obrazec 6'!$AT$23+'obrazec 6 - OŠPP'!$AT$23+'obrazec 7'!$B$62+'obrazec 8'!$CE$20)&gt;434),5,"")))</f>
      </c>
      <c r="J35" s="4" t="s">
        <v>328</v>
      </c>
      <c r="K35" s="4" t="s">
        <v>324</v>
      </c>
      <c r="L35" s="280">
        <v>18.9</v>
      </c>
      <c r="N35" s="4">
        <f>IF('obrazec 2'!$D$41="","",IF(AND('obrazec 2'!$D$41="SVETOVALEC",'obrazec 2'!$G$38="VI"),VLOOKUP('obrazec 2'!$G$38,'Zbirni obrazec'!$K$35:$L$37,2,FALSE),""))</f>
      </c>
    </row>
    <row r="36" spans="2:14" ht="15">
      <c r="B36" s="562"/>
      <c r="C36" s="563"/>
      <c r="D36" s="413" t="s">
        <v>431</v>
      </c>
      <c r="E36" s="387"/>
      <c r="F36" s="414">
        <v>2</v>
      </c>
      <c r="G36" s="389">
        <f>IF(AND('obrazec 6'!$BF$26=0,'obrazec 6 - OŠPP'!$BF$26=0,'obrazec 7'!$B$62=0,'obrazec 8'!$CE$20=0),"",IF(OR(AND('obrazec 6'!$BF$69&lt;&gt;"",'obrazec 6 - OŠPP'!$BF$69&lt;&gt;""),'obrazec 7'!$E$63&lt;&gt;"",'obrazec 8'!$A$21&lt;&gt;""),"NAPAKA",IF(AND(('obrazec 6'!$AT$23+'obrazec 6 - OŠPP'!$AT$23+'obrazec 7'!$B$62+'obrazec 8'!$CE$20)&lt;=434,('obrazec 6'!$AT$23+'obrazec 6 - OŠPP'!$AT$23+'obrazec 7'!$B$62+'obrazec 8'!$CE$20)&gt;144),2,"")))</f>
      </c>
      <c r="J36" s="4" t="s">
        <v>328</v>
      </c>
      <c r="K36" s="4" t="s">
        <v>327</v>
      </c>
      <c r="L36" s="280">
        <v>20.8</v>
      </c>
      <c r="N36" s="4">
        <f>IF('obrazec 2'!$D$41="","",IF(AND('obrazec 2'!$D$41="SVETOVALEC",'obrazec 2'!$G$38="VII/1"),VLOOKUP('obrazec 2'!$G$38,'Zbirni obrazec'!$K$35:$L$37,2,FALSE),""))</f>
      </c>
    </row>
    <row r="37" spans="2:14" ht="15.75" thickBot="1">
      <c r="B37" s="564"/>
      <c r="C37" s="565"/>
      <c r="D37" s="415" t="s">
        <v>432</v>
      </c>
      <c r="E37" s="391"/>
      <c r="F37" s="416">
        <v>0</v>
      </c>
      <c r="G37" s="393">
        <f>IF(AND('obrazec 6'!$BF$26=0,'obrazec 6 - OŠPP'!$BF$26=0,'obrazec 7'!$B$62=0,'obrazec 8'!$CE$20=0),"",IF(OR(AND('obrazec 6'!$BF$69&lt;&gt;"",'obrazec 6 - OŠPP'!$BF$69&lt;&gt;""),'obrazec 7'!$E$63&lt;&gt;"",'obrazec 8'!$A$21&lt;&gt;""),"NAPAKA",IF(('obrazec 6'!$AT$23+'obrazec 6 - OŠPP'!$AT$23+'obrazec 7'!$B$62+'obrazec 8'!$CE$20)&lt;=144,0,"")))</f>
      </c>
      <c r="J37" s="4" t="s">
        <v>328</v>
      </c>
      <c r="K37" s="4" t="s">
        <v>329</v>
      </c>
      <c r="L37" s="280">
        <v>22.2</v>
      </c>
      <c r="N37" s="4">
        <f>IF('obrazec 2'!$D$41="","",IF(AND('obrazec 2'!$D$41="SVETOVALEC",'obrazec 2'!$G$38="VII/2"),VLOOKUP('obrazec 2'!$G$38,'Zbirni obrazec'!$K$35:$L$37,2,FALSE),""))</f>
      </c>
    </row>
    <row r="38" spans="2:14" ht="15.75" thickBot="1">
      <c r="B38" s="165"/>
      <c r="C38" s="166"/>
      <c r="D38" s="166"/>
      <c r="E38" s="166"/>
      <c r="F38" s="166"/>
      <c r="G38" s="167">
        <f>IF(COUNTIF($G$5:$G$37,"NAPAKA")&gt;0,"NAPAKA",IF(G33="VEČ KOT 723 UR","NAPAKA",IF('obrazec 1'!$G$77&lt;&gt;"","NAPAKA - obrazec 1",IF(OR('obrazec 2'!$B$39&lt;&gt;"",'obrazec 2'!$B$43&lt;&gt;"",'obrazec 2'!$B$46&lt;&gt;""),"NAPAKA - obrazec 2",IF('obrazec 3'!A52&lt;&gt;"","NAPAKA - obrazec 3",IF('obrazec 6'!N8&lt;&gt;"","NAPAKA - obrazec 6",IF('obrazec 6 - OŠPP'!N8&lt;&gt;"","NAPAKA - obrazec 6 - OŠPP",I38)))))))</f>
        <v>0</v>
      </c>
      <c r="I38" s="4">
        <f>IF(podatki!A24&lt;&gt;"","NAPAKA - obrazec podatki",SUM(G5:G37))</f>
        <v>0</v>
      </c>
      <c r="J38" s="4" t="s">
        <v>330</v>
      </c>
      <c r="K38" s="4" t="s">
        <v>327</v>
      </c>
      <c r="L38" s="280">
        <v>22.2</v>
      </c>
      <c r="N38" s="4">
        <f>IF('obrazec 2'!$D$41="","",IF(AND('obrazec 2'!$D$41="SVETNIK",'obrazec 2'!$G$38="VII/1"),VLOOKUP('obrazec 2'!$G$38,'Zbirni obrazec'!$K$38:$L$39,2,FALSE),""))</f>
      </c>
    </row>
    <row r="39" spans="2:14" ht="15" thickTop="1">
      <c r="B39" s="168"/>
      <c r="C39" s="168"/>
      <c r="D39" s="168"/>
      <c r="E39" s="168"/>
      <c r="F39" s="168"/>
      <c r="G39" s="168"/>
      <c r="J39" s="4" t="s">
        <v>330</v>
      </c>
      <c r="K39" s="4" t="s">
        <v>329</v>
      </c>
      <c r="L39" s="280">
        <v>24</v>
      </c>
      <c r="N39" s="4">
        <f>IF('obrazec 2'!$D$41="","",IF(AND('obrazec 2'!$D$41="SVETNIK",'obrazec 2'!$G$38="VII/2"),VLOOKUP('obrazec 2'!$G$38,'Zbirni obrazec'!$K$38:$L$39,2,FALSE),""))</f>
      </c>
    </row>
    <row r="40" spans="2:14" ht="14.25">
      <c r="B40" s="547">
        <f>IF(SUM($G$33:$G$37)=0,"","Predvidena vrednost prijavitelju izplačanih sredstev, če bo prijavitelj izbran na razpisu in bo program izpeljan tako kot je bil prijavljen:")</f>
      </c>
      <c r="C40" s="547"/>
      <c r="D40" s="547"/>
      <c r="E40" s="547"/>
      <c r="F40" s="547"/>
      <c r="G40" s="283">
        <f>IF(SUM($G$33:$G$37)=0,"",IF(OR('obrazec 7'!$B$62="NAPAKA",'obrazec 8'!$CE$20="NAPAKA"),"NAPAKA",ROUND(N40*ROUND(('obrazec 8'!$CE$20+'obrazec 7'!$B$62+'obrazec 6 - OŠPP'!$AT$23+'obrazec 6'!$AT$23)*(podatki!N24+12)/12,0),2)))</f>
      </c>
      <c r="N40" s="4">
        <f>SUM(N29:N39)</f>
        <v>0</v>
      </c>
    </row>
    <row r="41" spans="2:7" ht="14.25">
      <c r="B41" s="548">
        <f>IF('obrazec 2'!$A$3="","",CONCATENATE("Predvidena vrednost pavšala za uro izvedbe programa Zdrav življenjski slog 2017-2018 znaša za strokovnega delavca"," ",'obrazec 2'!A3," ","- a:"))</f>
      </c>
      <c r="C41" s="548"/>
      <c r="D41" s="548"/>
      <c r="E41" s="548"/>
      <c r="F41" s="548"/>
      <c r="G41" s="283">
        <f>IF('obrazec 2'!$A$3="","",N40)</f>
      </c>
    </row>
    <row r="42" spans="2:7" ht="14.25">
      <c r="B42" s="168"/>
      <c r="C42" s="168"/>
      <c r="D42" s="168"/>
      <c r="E42" s="168"/>
      <c r="F42" s="168"/>
      <c r="G42" s="168"/>
    </row>
    <row r="43" spans="2:7" ht="14.25">
      <c r="B43" s="168"/>
      <c r="C43" s="168"/>
      <c r="D43" s="168"/>
      <c r="E43" s="168"/>
      <c r="F43" s="168"/>
      <c r="G43" s="168"/>
    </row>
    <row r="44" spans="2:7" ht="14.25">
      <c r="B44" s="168"/>
      <c r="C44" s="168"/>
      <c r="D44" s="168"/>
      <c r="E44" s="168"/>
      <c r="F44" s="168"/>
      <c r="G44" s="168"/>
    </row>
    <row r="45" spans="2:7" ht="14.25">
      <c r="B45" s="168"/>
      <c r="C45" s="168"/>
      <c r="D45" s="168"/>
      <c r="E45" s="168"/>
      <c r="F45" s="168"/>
      <c r="G45" s="168"/>
    </row>
  </sheetData>
  <sheetProtection password="C86A" sheet="1" selectLockedCells="1"/>
  <mergeCells count="8">
    <mergeCell ref="B40:F40"/>
    <mergeCell ref="B41:F41"/>
    <mergeCell ref="B2:G2"/>
    <mergeCell ref="B8:C8"/>
    <mergeCell ref="B4:C4"/>
    <mergeCell ref="B17:C31"/>
    <mergeCell ref="B33:C37"/>
    <mergeCell ref="B10:C15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scale="67" r:id="rId2"/>
  <headerFooter>
    <oddFooter>&amp;R&amp;K00-024&amp;A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2"/>
  <sheetViews>
    <sheetView showGridLines="0" zoomScalePageLayoutView="0" workbookViewId="0" topLeftCell="A13">
      <selection activeCell="A10" sqref="A10"/>
    </sheetView>
  </sheetViews>
  <sheetFormatPr defaultColWidth="9.140625" defaultRowHeight="15"/>
  <cols>
    <col min="1" max="3" width="7.28125" style="217" customWidth="1"/>
    <col min="4" max="4" width="7.28125" style="118" customWidth="1"/>
    <col min="5" max="16" width="7.28125" style="4" customWidth="1"/>
    <col min="17" max="18" width="7.7109375" style="4" customWidth="1"/>
    <col min="19" max="19" width="2.7109375" style="4" hidden="1" customWidth="1"/>
    <col min="20" max="20" width="4.00390625" style="4" hidden="1" customWidth="1"/>
    <col min="21" max="21" width="8.8515625" style="4" customWidth="1"/>
    <col min="22" max="22" width="5.8515625" style="4" customWidth="1"/>
    <col min="23" max="23" width="4.7109375" style="4" customWidth="1"/>
    <col min="24" max="24" width="5.8515625" style="4" customWidth="1"/>
    <col min="25" max="25" width="4.7109375" style="4" customWidth="1"/>
    <col min="26" max="16384" width="8.8515625" style="4" customWidth="1"/>
  </cols>
  <sheetData>
    <row r="1" ht="4.5" customHeight="1"/>
    <row r="2" spans="1:18" ht="15" customHeight="1">
      <c r="A2" s="662">
        <f>IF('obrazec 1'!F4="","",IF(COUNT('obrazec 4 - OŠPP'!$D$12:$O$31)=0,"",'obrazec 1'!F4))</f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</row>
    <row r="3" ht="4.5" customHeight="1"/>
    <row r="4" ht="14.25">
      <c r="A4" s="23" t="s">
        <v>417</v>
      </c>
    </row>
    <row r="5" ht="14.25">
      <c r="A5" s="235" t="s">
        <v>304</v>
      </c>
    </row>
    <row r="6" ht="14.25">
      <c r="A6" s="23" t="s">
        <v>305</v>
      </c>
    </row>
    <row r="8" spans="1:19" ht="14.25" customHeight="1">
      <c r="A8" s="257" t="s">
        <v>300</v>
      </c>
      <c r="B8" s="259" t="s">
        <v>302</v>
      </c>
      <c r="C8" s="257" t="s">
        <v>300</v>
      </c>
      <c r="D8" s="259" t="s">
        <v>302</v>
      </c>
      <c r="E8" s="257" t="s">
        <v>300</v>
      </c>
      <c r="F8" s="259" t="s">
        <v>302</v>
      </c>
      <c r="G8" s="257" t="s">
        <v>300</v>
      </c>
      <c r="H8" s="259" t="s">
        <v>302</v>
      </c>
      <c r="I8" s="257" t="s">
        <v>300</v>
      </c>
      <c r="J8" s="259" t="s">
        <v>302</v>
      </c>
      <c r="K8" s="257" t="s">
        <v>300</v>
      </c>
      <c r="L8" s="259" t="s">
        <v>302</v>
      </c>
      <c r="M8" s="257" t="s">
        <v>300</v>
      </c>
      <c r="N8" s="259" t="s">
        <v>302</v>
      </c>
      <c r="O8" s="257" t="s">
        <v>300</v>
      </c>
      <c r="P8" s="259" t="s">
        <v>302</v>
      </c>
      <c r="Q8" s="257" t="s">
        <v>300</v>
      </c>
      <c r="R8" s="259" t="s">
        <v>302</v>
      </c>
      <c r="S8" s="251"/>
    </row>
    <row r="9" spans="1:18" ht="14.25">
      <c r="A9" s="258" t="s">
        <v>301</v>
      </c>
      <c r="B9" s="260" t="s">
        <v>303</v>
      </c>
      <c r="C9" s="258" t="s">
        <v>301</v>
      </c>
      <c r="D9" s="260" t="s">
        <v>303</v>
      </c>
      <c r="E9" s="258" t="s">
        <v>301</v>
      </c>
      <c r="F9" s="260" t="s">
        <v>303</v>
      </c>
      <c r="G9" s="258" t="s">
        <v>301</v>
      </c>
      <c r="H9" s="260" t="s">
        <v>303</v>
      </c>
      <c r="I9" s="258" t="s">
        <v>301</v>
      </c>
      <c r="J9" s="260" t="s">
        <v>303</v>
      </c>
      <c r="K9" s="258" t="s">
        <v>301</v>
      </c>
      <c r="L9" s="260" t="s">
        <v>303</v>
      </c>
      <c r="M9" s="258" t="s">
        <v>301</v>
      </c>
      <c r="N9" s="260" t="s">
        <v>303</v>
      </c>
      <c r="O9" s="258" t="s">
        <v>301</v>
      </c>
      <c r="P9" s="260" t="s">
        <v>303</v>
      </c>
      <c r="Q9" s="258" t="s">
        <v>301</v>
      </c>
      <c r="R9" s="260" t="s">
        <v>303</v>
      </c>
    </row>
    <row r="10" spans="1:20" ht="12.75" customHeight="1">
      <c r="A10" s="269"/>
      <c r="B10" s="294"/>
      <c r="C10" s="200"/>
      <c r="D10" s="261"/>
      <c r="E10" s="200"/>
      <c r="F10" s="261"/>
      <c r="G10" s="200"/>
      <c r="H10" s="261"/>
      <c r="I10" s="200"/>
      <c r="J10" s="261"/>
      <c r="K10" s="200"/>
      <c r="L10" s="261"/>
      <c r="M10" s="200"/>
      <c r="N10" s="261"/>
      <c r="O10" s="200"/>
      <c r="P10" s="261"/>
      <c r="Q10" s="200"/>
      <c r="R10" s="261"/>
      <c r="S10" s="249"/>
      <c r="T10" s="250">
        <f>COUNTIF('obrazec 4 - OŠPP'!$D12:$O12,"&gt;0")</f>
        <v>0</v>
      </c>
    </row>
    <row r="11" spans="1:20" ht="12.75" customHeight="1">
      <c r="A11" s="204"/>
      <c r="B11" s="296"/>
      <c r="C11" s="204"/>
      <c r="D11" s="262"/>
      <c r="E11" s="204"/>
      <c r="F11" s="262"/>
      <c r="G11" s="204"/>
      <c r="H11" s="262"/>
      <c r="I11" s="204"/>
      <c r="J11" s="262"/>
      <c r="K11" s="204"/>
      <c r="L11" s="262"/>
      <c r="M11" s="204"/>
      <c r="N11" s="262"/>
      <c r="O11" s="204"/>
      <c r="P11" s="262"/>
      <c r="Q11" s="204"/>
      <c r="R11" s="262"/>
      <c r="S11" s="249"/>
      <c r="T11" s="250">
        <f>COUNTIF('obrazec 4 - OŠPP'!$D13:$O13,"&gt;0")</f>
        <v>0</v>
      </c>
    </row>
    <row r="12" spans="1:20" ht="12.75" customHeight="1">
      <c r="A12" s="204"/>
      <c r="B12" s="296"/>
      <c r="C12" s="204"/>
      <c r="D12" s="262"/>
      <c r="E12" s="204"/>
      <c r="F12" s="262"/>
      <c r="G12" s="204"/>
      <c r="H12" s="262"/>
      <c r="I12" s="204"/>
      <c r="J12" s="262"/>
      <c r="K12" s="204"/>
      <c r="L12" s="262"/>
      <c r="M12" s="204"/>
      <c r="N12" s="262"/>
      <c r="O12" s="204"/>
      <c r="P12" s="262"/>
      <c r="Q12" s="204"/>
      <c r="R12" s="262"/>
      <c r="S12" s="249"/>
      <c r="T12" s="250">
        <f>COUNTIF('obrazec 4 - OŠPP'!$D14:$O14,"&gt;0")</f>
        <v>0</v>
      </c>
    </row>
    <row r="13" spans="1:20" ht="12.75" customHeight="1">
      <c r="A13" s="204"/>
      <c r="B13" s="295"/>
      <c r="C13" s="204"/>
      <c r="D13" s="262"/>
      <c r="E13" s="204"/>
      <c r="F13" s="262"/>
      <c r="G13" s="204"/>
      <c r="H13" s="262"/>
      <c r="I13" s="204"/>
      <c r="J13" s="262"/>
      <c r="K13" s="204"/>
      <c r="L13" s="262"/>
      <c r="M13" s="204"/>
      <c r="N13" s="262"/>
      <c r="O13" s="204"/>
      <c r="P13" s="262"/>
      <c r="Q13" s="204"/>
      <c r="R13" s="262"/>
      <c r="S13" s="249"/>
      <c r="T13" s="250">
        <f>COUNTIF('obrazec 4 - OŠPP'!$D15:$O15,"&gt;0")</f>
        <v>0</v>
      </c>
    </row>
    <row r="14" spans="1:20" ht="12.75" customHeight="1">
      <c r="A14" s="204"/>
      <c r="B14" s="296"/>
      <c r="C14" s="204"/>
      <c r="D14" s="262"/>
      <c r="E14" s="204"/>
      <c r="F14" s="262"/>
      <c r="G14" s="204"/>
      <c r="H14" s="262"/>
      <c r="I14" s="204"/>
      <c r="J14" s="262"/>
      <c r="K14" s="204"/>
      <c r="L14" s="262"/>
      <c r="M14" s="204"/>
      <c r="N14" s="262"/>
      <c r="O14" s="204"/>
      <c r="P14" s="262"/>
      <c r="Q14" s="204"/>
      <c r="R14" s="262"/>
      <c r="S14" s="249"/>
      <c r="T14" s="250">
        <f>COUNTIF('obrazec 4 - OŠPP'!$D16:$O16,"&gt;0")</f>
        <v>0</v>
      </c>
    </row>
    <row r="15" spans="1:20" ht="12.75" customHeight="1">
      <c r="A15" s="204"/>
      <c r="B15" s="295"/>
      <c r="C15" s="204"/>
      <c r="D15" s="262"/>
      <c r="E15" s="204"/>
      <c r="F15" s="262"/>
      <c r="G15" s="204"/>
      <c r="H15" s="262"/>
      <c r="I15" s="204"/>
      <c r="J15" s="262"/>
      <c r="K15" s="204"/>
      <c r="L15" s="262"/>
      <c r="M15" s="204"/>
      <c r="N15" s="262"/>
      <c r="O15" s="204"/>
      <c r="P15" s="262"/>
      <c r="Q15" s="204"/>
      <c r="R15" s="262"/>
      <c r="S15" s="249"/>
      <c r="T15" s="250">
        <f>COUNTIF('obrazec 4 - OŠPP'!$D17:$O17,"&gt;0")</f>
        <v>0</v>
      </c>
    </row>
    <row r="16" spans="1:20" ht="12.75" customHeight="1">
      <c r="A16" s="204"/>
      <c r="B16" s="296"/>
      <c r="C16" s="204"/>
      <c r="D16" s="262"/>
      <c r="E16" s="204"/>
      <c r="F16" s="262"/>
      <c r="G16" s="204"/>
      <c r="H16" s="262"/>
      <c r="I16" s="204"/>
      <c r="J16" s="262"/>
      <c r="K16" s="204"/>
      <c r="L16" s="262"/>
      <c r="M16" s="204"/>
      <c r="N16" s="262"/>
      <c r="O16" s="204"/>
      <c r="P16" s="262"/>
      <c r="Q16" s="204"/>
      <c r="R16" s="262"/>
      <c r="S16" s="249"/>
      <c r="T16" s="250">
        <f>COUNTIF('obrazec 4 - OŠPP'!$D18:$O18,"&gt;0")</f>
        <v>0</v>
      </c>
    </row>
    <row r="17" spans="1:20" ht="12.75" customHeight="1">
      <c r="A17" s="204"/>
      <c r="B17" s="295"/>
      <c r="C17" s="204"/>
      <c r="D17" s="262"/>
      <c r="E17" s="204"/>
      <c r="F17" s="262"/>
      <c r="G17" s="204"/>
      <c r="H17" s="262"/>
      <c r="I17" s="204"/>
      <c r="J17" s="262"/>
      <c r="K17" s="204"/>
      <c r="L17" s="262"/>
      <c r="M17" s="204"/>
      <c r="N17" s="262"/>
      <c r="O17" s="204"/>
      <c r="P17" s="262"/>
      <c r="Q17" s="204"/>
      <c r="R17" s="262"/>
      <c r="S17" s="249"/>
      <c r="T17" s="250">
        <f>COUNTIF('obrazec 4 - OŠPP'!$D19:$O19,"&gt;0")</f>
        <v>0</v>
      </c>
    </row>
    <row r="18" spans="1:20" ht="12.75" customHeight="1">
      <c r="A18" s="204"/>
      <c r="B18" s="296"/>
      <c r="C18" s="204"/>
      <c r="D18" s="262"/>
      <c r="E18" s="204"/>
      <c r="F18" s="262"/>
      <c r="G18" s="204"/>
      <c r="H18" s="262"/>
      <c r="I18" s="204"/>
      <c r="J18" s="262"/>
      <c r="K18" s="204"/>
      <c r="L18" s="262"/>
      <c r="M18" s="204"/>
      <c r="N18" s="262"/>
      <c r="O18" s="204"/>
      <c r="P18" s="262"/>
      <c r="Q18" s="204"/>
      <c r="R18" s="262"/>
      <c r="S18" s="249"/>
      <c r="T18" s="250">
        <f>COUNTIF('obrazec 4 - OŠPP'!$D20:$O20,"&gt;0")</f>
        <v>0</v>
      </c>
    </row>
    <row r="19" spans="1:20" ht="12.75" customHeight="1">
      <c r="A19" s="204"/>
      <c r="B19" s="295"/>
      <c r="C19" s="204"/>
      <c r="D19" s="262"/>
      <c r="E19" s="204"/>
      <c r="F19" s="262"/>
      <c r="G19" s="204"/>
      <c r="H19" s="262"/>
      <c r="I19" s="204"/>
      <c r="J19" s="262"/>
      <c r="K19" s="204"/>
      <c r="L19" s="262"/>
      <c r="M19" s="204"/>
      <c r="N19" s="262"/>
      <c r="O19" s="204"/>
      <c r="P19" s="262"/>
      <c r="Q19" s="204"/>
      <c r="R19" s="262"/>
      <c r="S19" s="249"/>
      <c r="T19" s="250">
        <f>COUNTIF('obrazec 4 - OŠPP'!$D21:$O21,"&gt;0")</f>
        <v>0</v>
      </c>
    </row>
    <row r="20" spans="1:20" ht="12.75" customHeight="1">
      <c r="A20" s="204"/>
      <c r="B20" s="296"/>
      <c r="C20" s="204"/>
      <c r="D20" s="262"/>
      <c r="E20" s="204"/>
      <c r="F20" s="262"/>
      <c r="G20" s="204"/>
      <c r="H20" s="262"/>
      <c r="I20" s="204"/>
      <c r="J20" s="262"/>
      <c r="K20" s="204"/>
      <c r="L20" s="262"/>
      <c r="M20" s="204"/>
      <c r="N20" s="262"/>
      <c r="O20" s="204"/>
      <c r="P20" s="262"/>
      <c r="Q20" s="204"/>
      <c r="R20" s="262"/>
      <c r="S20" s="249"/>
      <c r="T20" s="250">
        <f>COUNTIF('obrazec 4 - OŠPP'!$D22:$O22,"&gt;0")</f>
        <v>0</v>
      </c>
    </row>
    <row r="21" spans="1:20" ht="12.75" customHeight="1">
      <c r="A21" s="204"/>
      <c r="B21" s="295"/>
      <c r="C21" s="204"/>
      <c r="D21" s="262"/>
      <c r="E21" s="204"/>
      <c r="F21" s="262"/>
      <c r="G21" s="204"/>
      <c r="H21" s="262"/>
      <c r="I21" s="204"/>
      <c r="J21" s="262"/>
      <c r="K21" s="204"/>
      <c r="L21" s="262"/>
      <c r="M21" s="204"/>
      <c r="N21" s="262"/>
      <c r="O21" s="204"/>
      <c r="P21" s="262"/>
      <c r="Q21" s="204"/>
      <c r="R21" s="262"/>
      <c r="S21" s="249"/>
      <c r="T21" s="250">
        <f>COUNTIF('obrazec 4 - OŠPP'!$D23:$O23,"&gt;0")</f>
        <v>0</v>
      </c>
    </row>
    <row r="22" spans="1:20" ht="12.75" customHeight="1">
      <c r="A22" s="204"/>
      <c r="B22" s="296"/>
      <c r="C22" s="204"/>
      <c r="D22" s="262"/>
      <c r="E22" s="204"/>
      <c r="F22" s="262"/>
      <c r="G22" s="204"/>
      <c r="H22" s="262"/>
      <c r="I22" s="204"/>
      <c r="J22" s="262"/>
      <c r="K22" s="204"/>
      <c r="L22" s="262"/>
      <c r="M22" s="204"/>
      <c r="N22" s="262"/>
      <c r="O22" s="204"/>
      <c r="P22" s="262"/>
      <c r="Q22" s="204"/>
      <c r="R22" s="262"/>
      <c r="S22" s="249"/>
      <c r="T22" s="250">
        <f>COUNTIF('obrazec 4 - OŠPP'!$D24:$O24,"&gt;0")</f>
        <v>0</v>
      </c>
    </row>
    <row r="23" spans="1:20" ht="12.75" customHeight="1">
      <c r="A23" s="204"/>
      <c r="B23" s="295"/>
      <c r="C23" s="204"/>
      <c r="D23" s="262"/>
      <c r="E23" s="204"/>
      <c r="F23" s="262"/>
      <c r="G23" s="204"/>
      <c r="H23" s="262"/>
      <c r="I23" s="204"/>
      <c r="J23" s="262"/>
      <c r="K23" s="204"/>
      <c r="L23" s="262"/>
      <c r="M23" s="204"/>
      <c r="N23" s="262"/>
      <c r="O23" s="204"/>
      <c r="P23" s="262"/>
      <c r="Q23" s="204"/>
      <c r="R23" s="262"/>
      <c r="S23" s="249"/>
      <c r="T23" s="250">
        <f>COUNTIF('obrazec 4 - OŠPP'!$D25:$O25,"&gt;0")</f>
        <v>0</v>
      </c>
    </row>
    <row r="24" spans="1:20" ht="12.75" customHeight="1">
      <c r="A24" s="204"/>
      <c r="B24" s="296"/>
      <c r="C24" s="204"/>
      <c r="D24" s="262"/>
      <c r="E24" s="204"/>
      <c r="F24" s="262"/>
      <c r="G24" s="204"/>
      <c r="H24" s="262"/>
      <c r="I24" s="204"/>
      <c r="J24" s="262"/>
      <c r="K24" s="204"/>
      <c r="L24" s="262"/>
      <c r="M24" s="204"/>
      <c r="N24" s="262"/>
      <c r="O24" s="204"/>
      <c r="P24" s="262"/>
      <c r="Q24" s="204"/>
      <c r="R24" s="262"/>
      <c r="S24" s="249"/>
      <c r="T24" s="250">
        <f>COUNTIF('obrazec 4 - OŠPP'!$D26:$O26,"&gt;0")</f>
        <v>0</v>
      </c>
    </row>
    <row r="25" spans="1:20" ht="12.75" customHeight="1">
      <c r="A25" s="204"/>
      <c r="B25" s="295"/>
      <c r="C25" s="204"/>
      <c r="D25" s="262"/>
      <c r="E25" s="204"/>
      <c r="F25" s="262"/>
      <c r="G25" s="204"/>
      <c r="H25" s="262"/>
      <c r="I25" s="204"/>
      <c r="J25" s="262"/>
      <c r="K25" s="204"/>
      <c r="L25" s="262"/>
      <c r="M25" s="204"/>
      <c r="N25" s="262"/>
      <c r="O25" s="204"/>
      <c r="P25" s="262"/>
      <c r="Q25" s="204"/>
      <c r="R25" s="262"/>
      <c r="S25" s="249"/>
      <c r="T25" s="250">
        <f>COUNTIF('obrazec 4 - OŠPP'!$D27:$O27,"&gt;0")</f>
        <v>0</v>
      </c>
    </row>
    <row r="26" spans="1:20" ht="12.75" customHeight="1">
      <c r="A26" s="209"/>
      <c r="B26" s="297"/>
      <c r="C26" s="204"/>
      <c r="D26" s="263"/>
      <c r="E26" s="209"/>
      <c r="F26" s="263"/>
      <c r="G26" s="209"/>
      <c r="H26" s="263"/>
      <c r="I26" s="209"/>
      <c r="J26" s="263"/>
      <c r="K26" s="209"/>
      <c r="L26" s="263"/>
      <c r="M26" s="209"/>
      <c r="N26" s="263"/>
      <c r="O26" s="209"/>
      <c r="P26" s="263"/>
      <c r="Q26" s="209"/>
      <c r="R26" s="263"/>
      <c r="S26" s="249"/>
      <c r="T26" s="250">
        <f>COUNTIF('obrazec 4 - OŠPP'!$D28:$O28,"&gt;0")</f>
        <v>0</v>
      </c>
    </row>
    <row r="27" spans="1:20" ht="12.75" customHeight="1">
      <c r="A27" s="204"/>
      <c r="B27" s="295"/>
      <c r="C27" s="204"/>
      <c r="D27" s="262"/>
      <c r="E27" s="204"/>
      <c r="F27" s="262"/>
      <c r="G27" s="204"/>
      <c r="H27" s="262"/>
      <c r="I27" s="204"/>
      <c r="J27" s="262"/>
      <c r="K27" s="204"/>
      <c r="L27" s="262"/>
      <c r="M27" s="204"/>
      <c r="N27" s="262"/>
      <c r="O27" s="204"/>
      <c r="P27" s="262"/>
      <c r="Q27" s="204"/>
      <c r="R27" s="262"/>
      <c r="S27" s="249"/>
      <c r="T27" s="250">
        <f>COUNTIF('obrazec 4 - OŠPP'!$D29:$O29,"&gt;0")</f>
        <v>0</v>
      </c>
    </row>
    <row r="28" spans="1:20" ht="12.75" customHeight="1">
      <c r="A28" s="204"/>
      <c r="B28" s="295"/>
      <c r="C28" s="204"/>
      <c r="D28" s="262"/>
      <c r="E28" s="204"/>
      <c r="F28" s="262"/>
      <c r="G28" s="204"/>
      <c r="H28" s="262"/>
      <c r="I28" s="204"/>
      <c r="J28" s="262"/>
      <c r="K28" s="204"/>
      <c r="L28" s="262"/>
      <c r="M28" s="204"/>
      <c r="N28" s="262"/>
      <c r="O28" s="204"/>
      <c r="P28" s="262"/>
      <c r="Q28" s="204"/>
      <c r="R28" s="262"/>
      <c r="S28" s="249"/>
      <c r="T28" s="250">
        <f>COUNTIF('obrazec 4 - OŠPP'!$D30:$O30,"&gt;0")</f>
        <v>0</v>
      </c>
    </row>
    <row r="29" spans="1:20" ht="12.75" customHeight="1">
      <c r="A29" s="219"/>
      <c r="B29" s="298"/>
      <c r="C29" s="219"/>
      <c r="D29" s="264"/>
      <c r="E29" s="219"/>
      <c r="F29" s="264"/>
      <c r="G29" s="219"/>
      <c r="H29" s="264"/>
      <c r="I29" s="219"/>
      <c r="J29" s="264"/>
      <c r="K29" s="219"/>
      <c r="L29" s="264"/>
      <c r="M29" s="219"/>
      <c r="N29" s="264"/>
      <c r="O29" s="219"/>
      <c r="P29" s="264"/>
      <c r="Q29" s="219"/>
      <c r="R29" s="264"/>
      <c r="S29" s="249"/>
      <c r="T29" s="250">
        <f>COUNTIF('obrazec 4 - OŠPP'!$D31:$O31,"&gt;0")</f>
        <v>0</v>
      </c>
    </row>
    <row r="30" spans="1:20" ht="14.25" customHeight="1" hidden="1">
      <c r="A30" s="265">
        <f>COUNTIF(A$10:A$29,"*")</f>
        <v>0</v>
      </c>
      <c r="B30" s="265">
        <f aca="true" t="shared" si="0" ref="B30:R30">COUNTIF(B$10:B$29,"*")</f>
        <v>0</v>
      </c>
      <c r="C30" s="265">
        <f t="shared" si="0"/>
        <v>0</v>
      </c>
      <c r="D30" s="265">
        <f t="shared" si="0"/>
        <v>0</v>
      </c>
      <c r="E30" s="265">
        <f t="shared" si="0"/>
        <v>0</v>
      </c>
      <c r="F30" s="265">
        <f t="shared" si="0"/>
        <v>0</v>
      </c>
      <c r="G30" s="265">
        <f t="shared" si="0"/>
        <v>0</v>
      </c>
      <c r="H30" s="265">
        <f t="shared" si="0"/>
        <v>0</v>
      </c>
      <c r="I30" s="265">
        <f t="shared" si="0"/>
        <v>0</v>
      </c>
      <c r="J30" s="265">
        <f t="shared" si="0"/>
        <v>0</v>
      </c>
      <c r="K30" s="265">
        <f t="shared" si="0"/>
        <v>0</v>
      </c>
      <c r="L30" s="265">
        <f t="shared" si="0"/>
        <v>0</v>
      </c>
      <c r="M30" s="265">
        <f t="shared" si="0"/>
        <v>0</v>
      </c>
      <c r="N30" s="265">
        <f t="shared" si="0"/>
        <v>0</v>
      </c>
      <c r="O30" s="265">
        <f t="shared" si="0"/>
        <v>0</v>
      </c>
      <c r="P30" s="265">
        <f t="shared" si="0"/>
        <v>0</v>
      </c>
      <c r="Q30" s="265">
        <f t="shared" si="0"/>
        <v>0</v>
      </c>
      <c r="R30" s="265">
        <f t="shared" si="0"/>
        <v>0</v>
      </c>
      <c r="S30" s="250">
        <f>A30+C30+E30+G30+I30+K30+M30+O30+Q30</f>
        <v>0</v>
      </c>
      <c r="T30" s="250">
        <f>SUM(T10:T29)</f>
        <v>0</v>
      </c>
    </row>
    <row r="31" spans="1:20" ht="14.25" customHeight="1">
      <c r="A31" s="686">
        <f>IF($S$30=0,"",IF(A30=B30,"","NAPAKA"))</f>
      </c>
      <c r="B31" s="686"/>
      <c r="C31" s="686">
        <f>IF($S$30=0,"",IF(C30=D30,"","NAPAKA"))</f>
      </c>
      <c r="D31" s="686"/>
      <c r="E31" s="686">
        <f>IF($S$30=0,"",IF(E30=F30,"","NAPAKA"))</f>
      </c>
      <c r="F31" s="686"/>
      <c r="G31" s="686">
        <f>IF($S$30=0,"",IF(G30=H30,"","NAPAKA"))</f>
      </c>
      <c r="H31" s="686"/>
      <c r="I31" s="686">
        <f>IF($S$30=0,"",IF(I30=J30,"","NAPAKA"))</f>
      </c>
      <c r="J31" s="686"/>
      <c r="K31" s="686">
        <f>IF($S$30=0,"",IF(K30=L30,"","NAPAKA"))</f>
      </c>
      <c r="L31" s="686"/>
      <c r="M31" s="686">
        <f>IF($S$30=0,"",IF(M30=N30,"","NAPAKA"))</f>
      </c>
      <c r="N31" s="686"/>
      <c r="O31" s="686">
        <f>IF($S$30=0,"",IF(O30=P30,"","NAPAKA"))</f>
      </c>
      <c r="P31" s="686"/>
      <c r="Q31" s="686">
        <f>IF($S$30=0,"",IF(Q30=R30,"","NAPAKA"))</f>
      </c>
      <c r="R31" s="686"/>
      <c r="S31" s="250"/>
      <c r="T31" s="250"/>
    </row>
    <row r="32" spans="1:20" ht="14.25" customHeight="1">
      <c r="A32" s="267">
        <f>IF(AND(S30=0,T30=0),"",IF(S30&lt;&gt;T30,"NAPAKA - nekatere skupine, oblikovane v tabeli v obrazcu 4 - OŠPP, niso zavedene v tabeli zgoraj oz. v tabeli v obrazcu 4 - OŠPP nimate oblikovanih skupin, vnesli pa ste jih v tabelo zgoraj. POPRAVITE !",""))</f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T32" s="21"/>
    </row>
    <row r="33" spans="1:16" ht="14.25">
      <c r="A33" s="268">
        <f>IF(OR(A31="NAPAKA",C31="NAPAKA",E31="NAPAKA",G31="NAPAKA",I31="NAPAKA",K31="NAPAKA",M31="NAPAKA",O31="NAPAKA",Q31="NAPAKA"),"NAPAKA - ena izmed skupin v stolpcu pod katerim se pojavlja NAPAKA nima navedene številke člena iz Pravilnika","")</f>
      </c>
      <c r="B33" s="214"/>
      <c r="C33" s="214"/>
      <c r="D33" s="214"/>
      <c r="P33" s="251"/>
    </row>
    <row r="34" spans="1:17" ht="14.25">
      <c r="A34" s="675" t="s">
        <v>21</v>
      </c>
      <c r="B34" s="675"/>
      <c r="C34" s="675"/>
      <c r="D34" s="675"/>
      <c r="E34" s="23"/>
      <c r="F34" s="23" t="s">
        <v>264</v>
      </c>
      <c r="H34" s="23"/>
      <c r="I34" s="23"/>
      <c r="J34" s="675" t="s">
        <v>344</v>
      </c>
      <c r="K34" s="675"/>
      <c r="L34" s="675"/>
      <c r="M34" s="675"/>
      <c r="N34" s="23"/>
      <c r="O34" s="23" t="s">
        <v>265</v>
      </c>
      <c r="P34" s="23"/>
      <c r="Q34" s="23"/>
    </row>
    <row r="35" spans="6:18" ht="14.25">
      <c r="F35" s="674">
        <f>IF('obrazec 1'!$F$4="","",IF(COUNT('obrazec 4 - OŠPP'!$D$12:$O$31)=0,"",'obrazec 1'!$F$12))</f>
      </c>
      <c r="G35" s="674"/>
      <c r="H35" s="674"/>
      <c r="J35" s="674">
        <f>IF('obrazec 1'!$F$4="","",IF(COUNT('obrazec 4 - OŠPP'!$D$12:$O$31)=0,"",'obrazec 1'!$F$4))</f>
      </c>
      <c r="K35" s="674"/>
      <c r="L35" s="674"/>
      <c r="M35" s="674"/>
      <c r="N35"/>
      <c r="O35" s="674">
        <f>IF('obrazec 1'!$F$4="","",IF(AND('obrazec 1'!$F$3="DA",COUNT('obrazec 4 - OŠPP'!$D$12:$O$31)&lt;&gt;0),'obrazec 1'!$F$4,IF(AND('obrazec 1'!$F$3="NE",COUNT('obrazec 4 - OŠPP'!$D$12:$O$31)=0),"",IF(AND('obrazec 1'!$F$3="DA",COUNT('obrazec 4 - OŠPP'!$D$12:$O$31)&lt;&gt;0),"",IF(AND('obrazec 1'!$F$3="DA",'obrazec 1'!J12&lt;&gt;""),"",IF('obrazec 1'!$J$12="","",'obrazec 1'!$J$12))))))</f>
      </c>
      <c r="P35" s="674"/>
      <c r="Q35" s="674"/>
      <c r="R35" s="674"/>
    </row>
    <row r="36" spans="1:18" ht="14.25">
      <c r="A36" s="639">
        <f>IF('obrazec 1'!H71="","",IF(COUNT('obrazec 4 - OŠPP'!$D$12:$O$31)=0,"",'obrazec 1'!H71))</f>
      </c>
      <c r="B36" s="639"/>
      <c r="C36" s="639"/>
      <c r="D36" s="639"/>
      <c r="E36"/>
      <c r="F36" s="677">
        <f>IF('obrazec 1'!$F$4="","",IF(COUNT('obrazec 4 - OŠPP'!$D$12:$O$31)=0,"",'obrazec 1'!$F$14))</f>
      </c>
      <c r="G36" s="677"/>
      <c r="H36" s="677"/>
      <c r="I36"/>
      <c r="J36" s="639">
        <f>IF('obrazec 1'!$F$4="","",IF(COUNT('obrazec 4 - OŠPP'!$D$12:$O$31)=0,"",'obrazec 1'!$F$6))</f>
      </c>
      <c r="K36" s="639"/>
      <c r="L36" s="639"/>
      <c r="M36" s="639"/>
      <c r="N36"/>
      <c r="O36" s="639">
        <f>IF('obrazec 1'!$F$4="","",IF(AND('obrazec 1'!$F$3="DA",COUNT('obrazec 4 - OŠPP'!$D$12:$O$31)&lt;&gt;0),'obrazec 1'!$F$6,IF(AND('obrazec 1'!$F$3="NE",COUNT('obrazec 4 - OŠPP'!$D$12:$O$31)=0),"",IF(AND('obrazec 1'!$F$3="DA",COUNT('obrazec 4 - OŠPP'!$D$12:$O$31)&lt;&gt;0),"",IF(AND('obrazec 1'!$F$3="DA",'obrazec 1'!J12&lt;&gt;""),"",IF('obrazec 1'!$J$14="","",'obrazec 1'!$J$14))))))</f>
      </c>
      <c r="P36" s="639"/>
      <c r="Q36" s="639"/>
      <c r="R36" s="639"/>
    </row>
    <row r="37" spans="6:8" ht="14.25">
      <c r="F37" s="25"/>
      <c r="G37" s="25"/>
      <c r="H37" s="25"/>
    </row>
    <row r="38" spans="6:8" ht="14.25">
      <c r="F38" s="25"/>
      <c r="G38" s="25"/>
      <c r="H38" s="25"/>
    </row>
    <row r="39" spans="6:8" ht="14.25">
      <c r="F39" s="25"/>
      <c r="G39" s="25"/>
      <c r="H39" s="25"/>
    </row>
    <row r="40" spans="6:8" ht="14.25">
      <c r="F40" s="25"/>
      <c r="G40" s="25"/>
      <c r="H40" s="25"/>
    </row>
    <row r="41" spans="6:8" ht="14.25">
      <c r="F41" s="25"/>
      <c r="G41" s="25"/>
      <c r="H41" s="25"/>
    </row>
    <row r="42" spans="6:8" ht="14.25">
      <c r="F42" s="25"/>
      <c r="G42" s="25"/>
      <c r="H42" s="25"/>
    </row>
  </sheetData>
  <sheetProtection password="C86A" sheet="1" objects="1" scenarios="1" selectLockedCells="1"/>
  <mergeCells count="19">
    <mergeCell ref="J35:M35"/>
    <mergeCell ref="J36:M36"/>
    <mergeCell ref="I31:J31"/>
    <mergeCell ref="K31:L31"/>
    <mergeCell ref="O35:R35"/>
    <mergeCell ref="O36:R36"/>
    <mergeCell ref="M31:N31"/>
    <mergeCell ref="O31:P31"/>
    <mergeCell ref="Q31:R31"/>
    <mergeCell ref="F36:H36"/>
    <mergeCell ref="F35:H35"/>
    <mergeCell ref="A2:R2"/>
    <mergeCell ref="A31:B31"/>
    <mergeCell ref="C31:D31"/>
    <mergeCell ref="E31:F31"/>
    <mergeCell ref="G31:H31"/>
    <mergeCell ref="A36:D36"/>
    <mergeCell ref="A34:D34"/>
    <mergeCell ref="J34:M3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>
    <oddFooter>&amp;R&amp;K00-024&amp;A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I108"/>
  <sheetViews>
    <sheetView showGridLines="0" zoomScalePageLayoutView="0" workbookViewId="0" topLeftCell="E49">
      <selection activeCell="Q69" sqref="Q69:AI69"/>
    </sheetView>
  </sheetViews>
  <sheetFormatPr defaultColWidth="9.140625" defaultRowHeight="15"/>
  <cols>
    <col min="1" max="4" width="4.7109375" style="4" hidden="1" customWidth="1"/>
    <col min="5" max="11" width="4.7109375" style="4" customWidth="1"/>
    <col min="12" max="15" width="4.7109375" style="4" hidden="1" customWidth="1"/>
    <col min="16" max="22" width="4.7109375" style="4" customWidth="1"/>
    <col min="23" max="26" width="4.7109375" style="4" hidden="1" customWidth="1"/>
    <col min="27" max="36" width="4.7109375" style="4" customWidth="1"/>
    <col min="37" max="39" width="8.7109375" style="4" customWidth="1"/>
    <col min="40" max="43" width="4.7109375" style="4" customWidth="1"/>
    <col min="44" max="44" width="8.7109375" style="4" customWidth="1"/>
    <col min="45" max="48" width="4.7109375" style="4" customWidth="1"/>
    <col min="49" max="49" width="8.7109375" style="4" customWidth="1"/>
    <col min="50" max="50" width="5.7109375" style="4" customWidth="1"/>
    <col min="51" max="53" width="8.7109375" style="4" customWidth="1"/>
    <col min="54" max="57" width="4.7109375" style="4" customWidth="1"/>
    <col min="58" max="58" width="8.7109375" style="4" customWidth="1"/>
    <col min="59" max="62" width="4.7109375" style="4" customWidth="1"/>
    <col min="63" max="63" width="8.7109375" style="4" customWidth="1"/>
    <col min="64" max="16384" width="8.8515625" style="4" customWidth="1"/>
  </cols>
  <sheetData>
    <row r="1" ht="4.5" customHeight="1"/>
    <row r="2" spans="5:35" ht="15" customHeight="1">
      <c r="E2" s="694">
        <f>IF('obrazec 1'!F4="","",'obrazec 1'!F4)</f>
      </c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</row>
    <row r="3" ht="4.5" customHeight="1"/>
    <row r="5" ht="14.25">
      <c r="E5" s="4" t="s">
        <v>282</v>
      </c>
    </row>
    <row r="7" spans="5:35" ht="14.25">
      <c r="E7" s="687" t="s">
        <v>105</v>
      </c>
      <c r="F7" s="691" t="s">
        <v>293</v>
      </c>
      <c r="G7" s="692"/>
      <c r="H7" s="692"/>
      <c r="I7" s="692"/>
      <c r="J7" s="692"/>
      <c r="K7" s="693"/>
      <c r="L7" s="112"/>
      <c r="M7" s="112"/>
      <c r="N7" s="112"/>
      <c r="O7" s="112"/>
      <c r="P7" s="691" t="s">
        <v>293</v>
      </c>
      <c r="Q7" s="692"/>
      <c r="R7" s="692"/>
      <c r="S7" s="692"/>
      <c r="T7" s="692"/>
      <c r="U7" s="692"/>
      <c r="V7" s="693"/>
      <c r="W7" s="113"/>
      <c r="X7" s="112"/>
      <c r="Y7" s="112"/>
      <c r="Z7" s="112"/>
      <c r="AA7" s="691" t="s">
        <v>293</v>
      </c>
      <c r="AB7" s="692"/>
      <c r="AC7" s="692"/>
      <c r="AD7" s="692"/>
      <c r="AE7" s="692"/>
      <c r="AF7" s="692"/>
      <c r="AG7" s="692"/>
      <c r="AH7" s="692"/>
      <c r="AI7" s="693"/>
    </row>
    <row r="8" spans="5:35" ht="14.25">
      <c r="E8" s="687"/>
      <c r="F8" s="701" t="s">
        <v>273</v>
      </c>
      <c r="G8" s="702"/>
      <c r="H8" s="703" t="s">
        <v>274</v>
      </c>
      <c r="I8" s="702"/>
      <c r="J8" s="689" t="s">
        <v>275</v>
      </c>
      <c r="K8" s="690"/>
      <c r="L8" s="25"/>
      <c r="M8" s="25"/>
      <c r="N8" s="25"/>
      <c r="O8" s="25"/>
      <c r="P8" s="695" t="s">
        <v>277</v>
      </c>
      <c r="Q8" s="697"/>
      <c r="R8" s="698" t="s">
        <v>278</v>
      </c>
      <c r="S8" s="697"/>
      <c r="T8" s="699" t="s">
        <v>276</v>
      </c>
      <c r="U8" s="696"/>
      <c r="V8" s="700"/>
      <c r="W8" s="114"/>
      <c r="X8" s="25"/>
      <c r="Y8" s="25"/>
      <c r="Z8" s="25"/>
      <c r="AA8" s="695" t="s">
        <v>279</v>
      </c>
      <c r="AB8" s="696"/>
      <c r="AC8" s="697"/>
      <c r="AD8" s="698" t="s">
        <v>280</v>
      </c>
      <c r="AE8" s="696"/>
      <c r="AF8" s="697"/>
      <c r="AG8" s="699" t="s">
        <v>281</v>
      </c>
      <c r="AH8" s="696"/>
      <c r="AI8" s="700"/>
    </row>
    <row r="9" spans="5:35" ht="14.25">
      <c r="E9" s="688"/>
      <c r="F9" s="226" t="s">
        <v>211</v>
      </c>
      <c r="G9" s="227" t="s">
        <v>212</v>
      </c>
      <c r="H9" s="228" t="s">
        <v>211</v>
      </c>
      <c r="I9" s="227" t="s">
        <v>212</v>
      </c>
      <c r="J9" s="229" t="s">
        <v>211</v>
      </c>
      <c r="K9" s="230" t="s">
        <v>212</v>
      </c>
      <c r="P9" s="226" t="s">
        <v>211</v>
      </c>
      <c r="Q9" s="227" t="s">
        <v>272</v>
      </c>
      <c r="R9" s="228" t="s">
        <v>211</v>
      </c>
      <c r="S9" s="227" t="s">
        <v>212</v>
      </c>
      <c r="T9" s="229" t="s">
        <v>211</v>
      </c>
      <c r="U9" s="231" t="s">
        <v>212</v>
      </c>
      <c r="V9" s="230" t="s">
        <v>213</v>
      </c>
      <c r="AA9" s="226" t="s">
        <v>211</v>
      </c>
      <c r="AB9" s="231" t="s">
        <v>212</v>
      </c>
      <c r="AC9" s="227" t="s">
        <v>213</v>
      </c>
      <c r="AD9" s="228" t="s">
        <v>211</v>
      </c>
      <c r="AE9" s="231" t="s">
        <v>212</v>
      </c>
      <c r="AF9" s="227" t="s">
        <v>213</v>
      </c>
      <c r="AG9" s="229" t="s">
        <v>211</v>
      </c>
      <c r="AH9" s="231" t="s">
        <v>212</v>
      </c>
      <c r="AI9" s="230" t="s">
        <v>213</v>
      </c>
    </row>
    <row r="10" spans="5:35" ht="13.5" customHeight="1">
      <c r="E10" s="115" t="s">
        <v>106</v>
      </c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126"/>
    </row>
    <row r="11" spans="5:35" ht="13.5" customHeight="1">
      <c r="E11" s="116" t="s">
        <v>107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27"/>
    </row>
    <row r="12" spans="5:35" ht="13.5" customHeight="1">
      <c r="E12" s="116" t="s">
        <v>108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27"/>
    </row>
    <row r="13" spans="5:35" ht="13.5" customHeight="1">
      <c r="E13" s="116" t="s">
        <v>109</v>
      </c>
      <c r="F13" s="190"/>
      <c r="G13" s="222"/>
      <c r="H13" s="224"/>
      <c r="I13" s="222"/>
      <c r="J13" s="224"/>
      <c r="K13" s="127"/>
      <c r="L13" s="188"/>
      <c r="M13" s="224"/>
      <c r="N13" s="224"/>
      <c r="O13" s="224"/>
      <c r="P13" s="224"/>
      <c r="Q13" s="222"/>
      <c r="R13" s="224"/>
      <c r="S13" s="222"/>
      <c r="T13" s="224"/>
      <c r="U13" s="191"/>
      <c r="V13" s="127"/>
      <c r="W13" s="188"/>
      <c r="X13" s="224"/>
      <c r="Y13" s="224"/>
      <c r="Z13" s="541"/>
      <c r="AA13" s="190"/>
      <c r="AB13" s="191"/>
      <c r="AC13" s="222"/>
      <c r="AD13" s="224"/>
      <c r="AE13" s="191"/>
      <c r="AF13" s="222"/>
      <c r="AG13" s="224"/>
      <c r="AH13" s="191"/>
      <c r="AI13" s="127"/>
    </row>
    <row r="14" spans="5:35" ht="13.5" customHeight="1">
      <c r="E14" s="116" t="s">
        <v>110</v>
      </c>
      <c r="F14" s="190"/>
      <c r="G14" s="222"/>
      <c r="H14" s="224"/>
      <c r="I14" s="222"/>
      <c r="J14" s="224"/>
      <c r="K14" s="127"/>
      <c r="L14" s="188"/>
      <c r="M14" s="224"/>
      <c r="N14" s="224"/>
      <c r="O14" s="224"/>
      <c r="P14" s="224"/>
      <c r="Q14" s="222"/>
      <c r="R14" s="224"/>
      <c r="S14" s="222"/>
      <c r="T14" s="224"/>
      <c r="U14" s="191"/>
      <c r="V14" s="127"/>
      <c r="W14" s="188"/>
      <c r="X14" s="224"/>
      <c r="Y14" s="224"/>
      <c r="Z14" s="541"/>
      <c r="AA14" s="190"/>
      <c r="AB14" s="191"/>
      <c r="AC14" s="222"/>
      <c r="AD14" s="224"/>
      <c r="AE14" s="191"/>
      <c r="AF14" s="222"/>
      <c r="AG14" s="224"/>
      <c r="AH14" s="191"/>
      <c r="AI14" s="127"/>
    </row>
    <row r="15" spans="5:35" ht="13.5" customHeight="1">
      <c r="E15" s="116" t="s">
        <v>111</v>
      </c>
      <c r="F15" s="190"/>
      <c r="G15" s="222"/>
      <c r="H15" s="224"/>
      <c r="I15" s="222"/>
      <c r="J15" s="224"/>
      <c r="K15" s="127"/>
      <c r="L15" s="188"/>
      <c r="M15" s="224"/>
      <c r="N15" s="224"/>
      <c r="O15" s="224"/>
      <c r="P15" s="224"/>
      <c r="Q15" s="222"/>
      <c r="R15" s="224"/>
      <c r="S15" s="222"/>
      <c r="T15" s="224"/>
      <c r="U15" s="191"/>
      <c r="V15" s="127"/>
      <c r="W15" s="188"/>
      <c r="X15" s="224"/>
      <c r="Y15" s="224"/>
      <c r="Z15" s="541"/>
      <c r="AA15" s="190"/>
      <c r="AB15" s="191"/>
      <c r="AC15" s="222"/>
      <c r="AD15" s="224"/>
      <c r="AE15" s="191"/>
      <c r="AF15" s="222"/>
      <c r="AG15" s="224"/>
      <c r="AH15" s="191"/>
      <c r="AI15" s="127"/>
    </row>
    <row r="16" spans="5:35" ht="13.5" customHeight="1">
      <c r="E16" s="116" t="s">
        <v>112</v>
      </c>
      <c r="F16" s="190"/>
      <c r="G16" s="222"/>
      <c r="H16" s="224"/>
      <c r="I16" s="222"/>
      <c r="J16" s="224"/>
      <c r="K16" s="127"/>
      <c r="L16" s="188"/>
      <c r="M16" s="224"/>
      <c r="N16" s="224"/>
      <c r="O16" s="224"/>
      <c r="P16" s="224"/>
      <c r="Q16" s="222"/>
      <c r="R16" s="224"/>
      <c r="S16" s="222"/>
      <c r="T16" s="224"/>
      <c r="U16" s="191"/>
      <c r="V16" s="127"/>
      <c r="W16" s="188"/>
      <c r="X16" s="224"/>
      <c r="Y16" s="224"/>
      <c r="Z16" s="541"/>
      <c r="AA16" s="190"/>
      <c r="AB16" s="191"/>
      <c r="AC16" s="222"/>
      <c r="AD16" s="224"/>
      <c r="AE16" s="191"/>
      <c r="AF16" s="222"/>
      <c r="AG16" s="224"/>
      <c r="AH16" s="191"/>
      <c r="AI16" s="127"/>
    </row>
    <row r="17" spans="5:35" ht="13.5" customHeight="1">
      <c r="E17" s="116" t="s">
        <v>113</v>
      </c>
      <c r="F17" s="190"/>
      <c r="G17" s="222"/>
      <c r="H17" s="224"/>
      <c r="I17" s="222"/>
      <c r="J17" s="224"/>
      <c r="K17" s="127"/>
      <c r="L17" s="188"/>
      <c r="M17" s="224"/>
      <c r="N17" s="224"/>
      <c r="O17" s="224"/>
      <c r="P17" s="224"/>
      <c r="Q17" s="222"/>
      <c r="R17" s="224"/>
      <c r="S17" s="222"/>
      <c r="T17" s="224"/>
      <c r="U17" s="191"/>
      <c r="V17" s="127"/>
      <c r="W17" s="188"/>
      <c r="X17" s="224"/>
      <c r="Y17" s="224"/>
      <c r="Z17" s="541"/>
      <c r="AA17" s="190"/>
      <c r="AB17" s="191"/>
      <c r="AC17" s="222"/>
      <c r="AD17" s="224"/>
      <c r="AE17" s="191"/>
      <c r="AF17" s="222"/>
      <c r="AG17" s="224"/>
      <c r="AH17" s="191"/>
      <c r="AI17" s="127"/>
    </row>
    <row r="18" spans="5:35" ht="13.5" customHeight="1">
      <c r="E18" s="116" t="s">
        <v>114</v>
      </c>
      <c r="F18" s="190"/>
      <c r="G18" s="222"/>
      <c r="H18" s="224"/>
      <c r="I18" s="222"/>
      <c r="J18" s="224"/>
      <c r="K18" s="127"/>
      <c r="L18" s="188"/>
      <c r="M18" s="224"/>
      <c r="N18" s="224"/>
      <c r="O18" s="224"/>
      <c r="P18" s="224"/>
      <c r="Q18" s="222"/>
      <c r="R18" s="224"/>
      <c r="S18" s="222"/>
      <c r="T18" s="224"/>
      <c r="U18" s="191"/>
      <c r="V18" s="127"/>
      <c r="W18" s="188"/>
      <c r="X18" s="224"/>
      <c r="Y18" s="224"/>
      <c r="Z18" s="541"/>
      <c r="AA18" s="190"/>
      <c r="AB18" s="191"/>
      <c r="AC18" s="222"/>
      <c r="AD18" s="224"/>
      <c r="AE18" s="191"/>
      <c r="AF18" s="222"/>
      <c r="AG18" s="224"/>
      <c r="AH18" s="191"/>
      <c r="AI18" s="127"/>
    </row>
    <row r="19" spans="5:35" ht="13.5" customHeight="1">
      <c r="E19" s="116" t="s">
        <v>115</v>
      </c>
      <c r="F19" s="190"/>
      <c r="G19" s="222"/>
      <c r="H19" s="224"/>
      <c r="I19" s="222"/>
      <c r="J19" s="224"/>
      <c r="K19" s="127"/>
      <c r="L19" s="188"/>
      <c r="M19" s="190"/>
      <c r="N19" s="190"/>
      <c r="O19" s="190"/>
      <c r="P19" s="190"/>
      <c r="Q19" s="222"/>
      <c r="R19" s="224"/>
      <c r="S19" s="222"/>
      <c r="T19" s="224"/>
      <c r="U19" s="191"/>
      <c r="V19" s="127"/>
      <c r="W19" s="188"/>
      <c r="X19" s="190"/>
      <c r="Y19" s="190"/>
      <c r="Z19" s="542"/>
      <c r="AA19" s="190"/>
      <c r="AB19" s="191"/>
      <c r="AC19" s="222"/>
      <c r="AD19" s="224"/>
      <c r="AE19" s="191"/>
      <c r="AF19" s="222"/>
      <c r="AG19" s="224"/>
      <c r="AH19" s="191"/>
      <c r="AI19" s="127"/>
    </row>
    <row r="20" spans="5:35" ht="13.5" customHeight="1">
      <c r="E20" s="116" t="s">
        <v>116</v>
      </c>
      <c r="F20" s="190"/>
      <c r="G20" s="222"/>
      <c r="H20" s="224"/>
      <c r="I20" s="222"/>
      <c r="J20" s="224"/>
      <c r="K20" s="127"/>
      <c r="L20" s="188"/>
      <c r="M20" s="190"/>
      <c r="N20" s="190"/>
      <c r="O20" s="190"/>
      <c r="P20" s="190"/>
      <c r="Q20" s="222"/>
      <c r="R20" s="224"/>
      <c r="S20" s="222"/>
      <c r="T20" s="224"/>
      <c r="U20" s="191"/>
      <c r="V20" s="127"/>
      <c r="W20" s="188"/>
      <c r="X20" s="190"/>
      <c r="Y20" s="190"/>
      <c r="Z20" s="542"/>
      <c r="AA20" s="190"/>
      <c r="AB20" s="191"/>
      <c r="AC20" s="222"/>
      <c r="AD20" s="224"/>
      <c r="AE20" s="191"/>
      <c r="AF20" s="222"/>
      <c r="AG20" s="224"/>
      <c r="AH20" s="191"/>
      <c r="AI20" s="127"/>
    </row>
    <row r="21" spans="5:35" ht="13.5" customHeight="1">
      <c r="E21" s="116" t="s">
        <v>117</v>
      </c>
      <c r="F21" s="190"/>
      <c r="G21" s="222"/>
      <c r="H21" s="224"/>
      <c r="I21" s="222"/>
      <c r="J21" s="224"/>
      <c r="K21" s="127"/>
      <c r="L21" s="188"/>
      <c r="M21" s="190"/>
      <c r="N21" s="190"/>
      <c r="O21" s="190"/>
      <c r="P21" s="190"/>
      <c r="Q21" s="222"/>
      <c r="R21" s="224"/>
      <c r="S21" s="222"/>
      <c r="T21" s="224"/>
      <c r="U21" s="191"/>
      <c r="V21" s="127"/>
      <c r="W21" s="188"/>
      <c r="X21" s="190"/>
      <c r="Y21" s="190"/>
      <c r="Z21" s="542"/>
      <c r="AA21" s="190"/>
      <c r="AB21" s="191"/>
      <c r="AC21" s="222"/>
      <c r="AD21" s="224"/>
      <c r="AE21" s="191"/>
      <c r="AF21" s="222"/>
      <c r="AG21" s="224"/>
      <c r="AH21" s="191"/>
      <c r="AI21" s="127"/>
    </row>
    <row r="22" spans="5:35" ht="13.5" customHeight="1">
      <c r="E22" s="116" t="s">
        <v>118</v>
      </c>
      <c r="F22" s="190"/>
      <c r="G22" s="222"/>
      <c r="H22" s="224"/>
      <c r="I22" s="222"/>
      <c r="J22" s="224"/>
      <c r="K22" s="127"/>
      <c r="L22" s="188"/>
      <c r="M22" s="190"/>
      <c r="N22" s="190"/>
      <c r="O22" s="190"/>
      <c r="P22" s="190"/>
      <c r="Q22" s="222"/>
      <c r="R22" s="224"/>
      <c r="S22" s="222"/>
      <c r="T22" s="224"/>
      <c r="U22" s="191"/>
      <c r="V22" s="127"/>
      <c r="W22" s="188"/>
      <c r="X22" s="190"/>
      <c r="Y22" s="190"/>
      <c r="Z22" s="542"/>
      <c r="AA22" s="190"/>
      <c r="AB22" s="191"/>
      <c r="AC22" s="222"/>
      <c r="AD22" s="224"/>
      <c r="AE22" s="191"/>
      <c r="AF22" s="222"/>
      <c r="AG22" s="224"/>
      <c r="AH22" s="191"/>
      <c r="AI22" s="127"/>
    </row>
    <row r="23" spans="5:35" ht="13.5" customHeight="1">
      <c r="E23" s="116" t="s">
        <v>119</v>
      </c>
      <c r="F23" s="190"/>
      <c r="G23" s="222"/>
      <c r="H23" s="224"/>
      <c r="I23" s="222"/>
      <c r="J23" s="224"/>
      <c r="K23" s="127"/>
      <c r="L23" s="188"/>
      <c r="M23" s="190"/>
      <c r="N23" s="190"/>
      <c r="O23" s="190"/>
      <c r="P23" s="190"/>
      <c r="Q23" s="222"/>
      <c r="R23" s="224"/>
      <c r="S23" s="222"/>
      <c r="T23" s="224"/>
      <c r="U23" s="191"/>
      <c r="V23" s="127"/>
      <c r="W23" s="188"/>
      <c r="X23" s="190"/>
      <c r="Y23" s="190"/>
      <c r="Z23" s="542"/>
      <c r="AA23" s="190"/>
      <c r="AB23" s="191"/>
      <c r="AC23" s="222"/>
      <c r="AD23" s="224"/>
      <c r="AE23" s="191"/>
      <c r="AF23" s="222"/>
      <c r="AG23" s="224"/>
      <c r="AH23" s="191"/>
      <c r="AI23" s="127"/>
    </row>
    <row r="24" spans="5:35" ht="13.5" customHeight="1">
      <c r="E24" s="116" t="s">
        <v>120</v>
      </c>
      <c r="F24" s="190"/>
      <c r="G24" s="222"/>
      <c r="H24" s="224"/>
      <c r="I24" s="222"/>
      <c r="J24" s="224"/>
      <c r="K24" s="127"/>
      <c r="L24" s="188"/>
      <c r="M24" s="190"/>
      <c r="N24" s="190"/>
      <c r="O24" s="190"/>
      <c r="P24" s="190"/>
      <c r="Q24" s="222"/>
      <c r="R24" s="224"/>
      <c r="S24" s="222"/>
      <c r="T24" s="224"/>
      <c r="U24" s="191"/>
      <c r="V24" s="127"/>
      <c r="W24" s="188"/>
      <c r="X24" s="190"/>
      <c r="Y24" s="190"/>
      <c r="Z24" s="542"/>
      <c r="AA24" s="190"/>
      <c r="AB24" s="191"/>
      <c r="AC24" s="222"/>
      <c r="AD24" s="224"/>
      <c r="AE24" s="191"/>
      <c r="AF24" s="222"/>
      <c r="AG24" s="224"/>
      <c r="AH24" s="191"/>
      <c r="AI24" s="127"/>
    </row>
    <row r="25" spans="5:35" ht="13.5" customHeight="1">
      <c r="E25" s="116" t="s">
        <v>121</v>
      </c>
      <c r="F25" s="190"/>
      <c r="G25" s="222"/>
      <c r="H25" s="224"/>
      <c r="I25" s="222"/>
      <c r="J25" s="224"/>
      <c r="K25" s="127"/>
      <c r="L25" s="190"/>
      <c r="M25" s="190"/>
      <c r="N25" s="190"/>
      <c r="O25" s="190"/>
      <c r="P25" s="190"/>
      <c r="Q25" s="222"/>
      <c r="R25" s="224"/>
      <c r="S25" s="222"/>
      <c r="T25" s="224"/>
      <c r="U25" s="191"/>
      <c r="V25" s="127"/>
      <c r="W25" s="233"/>
      <c r="X25" s="233"/>
      <c r="Y25" s="233"/>
      <c r="Z25" s="233"/>
      <c r="AA25" s="190"/>
      <c r="AB25" s="191"/>
      <c r="AC25" s="222"/>
      <c r="AD25" s="224"/>
      <c r="AE25" s="191"/>
      <c r="AF25" s="222"/>
      <c r="AG25" s="224"/>
      <c r="AH25" s="191"/>
      <c r="AI25" s="127"/>
    </row>
    <row r="26" spans="5:35" ht="13.5" customHeight="1">
      <c r="E26" s="116" t="s">
        <v>122</v>
      </c>
      <c r="F26" s="190"/>
      <c r="G26" s="222"/>
      <c r="H26" s="224"/>
      <c r="I26" s="222"/>
      <c r="J26" s="224"/>
      <c r="K26" s="127"/>
      <c r="L26" s="190"/>
      <c r="M26" s="190"/>
      <c r="N26" s="190"/>
      <c r="O26" s="190"/>
      <c r="P26" s="190"/>
      <c r="Q26" s="222"/>
      <c r="R26" s="224"/>
      <c r="S26" s="222"/>
      <c r="T26" s="224"/>
      <c r="U26" s="191"/>
      <c r="V26" s="127"/>
      <c r="W26" s="188"/>
      <c r="X26" s="190"/>
      <c r="Y26" s="190"/>
      <c r="Z26" s="542"/>
      <c r="AA26" s="190"/>
      <c r="AB26" s="191"/>
      <c r="AC26" s="222"/>
      <c r="AD26" s="224"/>
      <c r="AE26" s="191"/>
      <c r="AF26" s="222"/>
      <c r="AG26" s="224"/>
      <c r="AH26" s="191"/>
      <c r="AI26" s="127"/>
    </row>
    <row r="27" spans="5:35" ht="13.5" customHeight="1">
      <c r="E27" s="116" t="s">
        <v>123</v>
      </c>
      <c r="F27" s="190"/>
      <c r="G27" s="222"/>
      <c r="H27" s="224"/>
      <c r="I27" s="222"/>
      <c r="J27" s="224"/>
      <c r="K27" s="127"/>
      <c r="L27" s="190"/>
      <c r="M27" s="190"/>
      <c r="N27" s="190"/>
      <c r="O27" s="190"/>
      <c r="P27" s="190"/>
      <c r="Q27" s="222"/>
      <c r="R27" s="224"/>
      <c r="S27" s="222"/>
      <c r="T27" s="224"/>
      <c r="U27" s="191"/>
      <c r="V27" s="127"/>
      <c r="W27" s="188"/>
      <c r="X27" s="190"/>
      <c r="Y27" s="190"/>
      <c r="Z27" s="542"/>
      <c r="AA27" s="190"/>
      <c r="AB27" s="191"/>
      <c r="AC27" s="222"/>
      <c r="AD27" s="224"/>
      <c r="AE27" s="191"/>
      <c r="AF27" s="222"/>
      <c r="AG27" s="224"/>
      <c r="AH27" s="191"/>
      <c r="AI27" s="127"/>
    </row>
    <row r="28" spans="5:35" ht="13.5" customHeight="1">
      <c r="E28" s="116" t="s">
        <v>124</v>
      </c>
      <c r="F28" s="190"/>
      <c r="G28" s="222"/>
      <c r="H28" s="224"/>
      <c r="I28" s="222"/>
      <c r="J28" s="224"/>
      <c r="K28" s="127"/>
      <c r="L28" s="233"/>
      <c r="M28" s="233"/>
      <c r="N28" s="233"/>
      <c r="O28" s="233"/>
      <c r="P28" s="190"/>
      <c r="Q28" s="222"/>
      <c r="R28" s="224"/>
      <c r="S28" s="222"/>
      <c r="T28" s="224"/>
      <c r="U28" s="191"/>
      <c r="V28" s="127"/>
      <c r="W28" s="233"/>
      <c r="X28" s="233"/>
      <c r="Y28" s="233"/>
      <c r="Z28" s="233"/>
      <c r="AA28" s="190"/>
      <c r="AB28" s="191"/>
      <c r="AC28" s="222"/>
      <c r="AD28" s="224"/>
      <c r="AE28" s="191"/>
      <c r="AF28" s="222"/>
      <c r="AG28" s="224"/>
      <c r="AH28" s="191"/>
      <c r="AI28" s="127"/>
    </row>
    <row r="29" spans="5:35" ht="13.5" customHeight="1">
      <c r="E29" s="116" t="s">
        <v>125</v>
      </c>
      <c r="F29" s="190"/>
      <c r="G29" s="222"/>
      <c r="H29" s="224"/>
      <c r="I29" s="222"/>
      <c r="J29" s="224"/>
      <c r="K29" s="127"/>
      <c r="L29" s="233"/>
      <c r="M29" s="233"/>
      <c r="N29" s="233"/>
      <c r="O29" s="233"/>
      <c r="P29" s="190"/>
      <c r="Q29" s="222"/>
      <c r="R29" s="224"/>
      <c r="S29" s="222"/>
      <c r="T29" s="224"/>
      <c r="U29" s="191"/>
      <c r="V29" s="127"/>
      <c r="W29" s="233"/>
      <c r="X29" s="233"/>
      <c r="Y29" s="233"/>
      <c r="Z29" s="233"/>
      <c r="AA29" s="190"/>
      <c r="AB29" s="191"/>
      <c r="AC29" s="222"/>
      <c r="AD29" s="224"/>
      <c r="AE29" s="191"/>
      <c r="AF29" s="222"/>
      <c r="AG29" s="224"/>
      <c r="AH29" s="191"/>
      <c r="AI29" s="127"/>
    </row>
    <row r="30" spans="5:35" ht="13.5" customHeight="1">
      <c r="E30" s="116" t="s">
        <v>126</v>
      </c>
      <c r="F30" s="190"/>
      <c r="G30" s="222"/>
      <c r="H30" s="224"/>
      <c r="I30" s="222"/>
      <c r="J30" s="224"/>
      <c r="K30" s="127"/>
      <c r="L30" s="233"/>
      <c r="M30" s="233"/>
      <c r="N30" s="233"/>
      <c r="O30" s="233"/>
      <c r="P30" s="190"/>
      <c r="Q30" s="222"/>
      <c r="R30" s="224"/>
      <c r="S30" s="222"/>
      <c r="T30" s="224"/>
      <c r="U30" s="191"/>
      <c r="V30" s="127"/>
      <c r="W30" s="233"/>
      <c r="X30" s="233"/>
      <c r="Y30" s="233"/>
      <c r="Z30" s="233"/>
      <c r="AA30" s="190"/>
      <c r="AB30" s="191"/>
      <c r="AC30" s="222"/>
      <c r="AD30" s="224"/>
      <c r="AE30" s="191"/>
      <c r="AF30" s="222"/>
      <c r="AG30" s="188"/>
      <c r="AH30" s="191"/>
      <c r="AI30" s="127"/>
    </row>
    <row r="31" spans="5:35" ht="13.5" customHeight="1">
      <c r="E31" s="116" t="s">
        <v>127</v>
      </c>
      <c r="F31" s="190"/>
      <c r="G31" s="222"/>
      <c r="H31" s="224"/>
      <c r="I31" s="222"/>
      <c r="J31" s="224"/>
      <c r="K31" s="127"/>
      <c r="L31" s="233"/>
      <c r="M31" s="233"/>
      <c r="N31" s="233"/>
      <c r="O31" s="233"/>
      <c r="P31" s="190"/>
      <c r="Q31" s="222"/>
      <c r="R31" s="224"/>
      <c r="S31" s="222"/>
      <c r="T31" s="188"/>
      <c r="U31" s="187"/>
      <c r="V31" s="127"/>
      <c r="W31" s="233"/>
      <c r="X31" s="233"/>
      <c r="Y31" s="233"/>
      <c r="Z31" s="233"/>
      <c r="AA31" s="190"/>
      <c r="AB31" s="191"/>
      <c r="AC31" s="222"/>
      <c r="AD31" s="224"/>
      <c r="AE31" s="191"/>
      <c r="AF31" s="222"/>
      <c r="AG31" s="188"/>
      <c r="AH31" s="191"/>
      <c r="AI31" s="127"/>
    </row>
    <row r="32" spans="5:35" ht="13.5" customHeight="1">
      <c r="E32" s="116" t="s">
        <v>128</v>
      </c>
      <c r="F32" s="190"/>
      <c r="G32" s="222"/>
      <c r="H32" s="224"/>
      <c r="I32" s="222"/>
      <c r="J32" s="224"/>
      <c r="K32" s="127"/>
      <c r="L32" s="233"/>
      <c r="M32" s="233"/>
      <c r="N32" s="233"/>
      <c r="O32" s="233"/>
      <c r="P32" s="190"/>
      <c r="Q32" s="222"/>
      <c r="R32" s="224"/>
      <c r="S32" s="222"/>
      <c r="T32" s="188"/>
      <c r="U32" s="187"/>
      <c r="V32" s="127"/>
      <c r="W32" s="233"/>
      <c r="X32" s="233"/>
      <c r="Y32" s="233"/>
      <c r="Z32" s="233"/>
      <c r="AA32" s="190"/>
      <c r="AB32" s="191"/>
      <c r="AC32" s="222"/>
      <c r="AD32" s="224"/>
      <c r="AE32" s="191"/>
      <c r="AF32" s="222"/>
      <c r="AG32" s="188"/>
      <c r="AH32" s="191"/>
      <c r="AI32" s="127"/>
    </row>
    <row r="33" spans="5:35" ht="13.5" customHeight="1">
      <c r="E33" s="116" t="s">
        <v>129</v>
      </c>
      <c r="F33" s="190"/>
      <c r="G33" s="222"/>
      <c r="H33" s="224"/>
      <c r="I33" s="222"/>
      <c r="J33" s="224"/>
      <c r="K33" s="127"/>
      <c r="L33" s="233"/>
      <c r="M33" s="233"/>
      <c r="N33" s="233"/>
      <c r="O33" s="233"/>
      <c r="P33" s="190"/>
      <c r="Q33" s="222"/>
      <c r="R33" s="224"/>
      <c r="S33" s="222"/>
      <c r="T33" s="188"/>
      <c r="U33" s="187"/>
      <c r="V33" s="127"/>
      <c r="W33" s="233"/>
      <c r="X33" s="233"/>
      <c r="Y33" s="233"/>
      <c r="Z33" s="233"/>
      <c r="AA33" s="190"/>
      <c r="AB33" s="191"/>
      <c r="AC33" s="222"/>
      <c r="AD33" s="224"/>
      <c r="AE33" s="191"/>
      <c r="AF33" s="222"/>
      <c r="AG33" s="188"/>
      <c r="AH33" s="191"/>
      <c r="AI33" s="127"/>
    </row>
    <row r="34" spans="5:35" ht="13.5" customHeight="1">
      <c r="E34" s="116" t="s">
        <v>130</v>
      </c>
      <c r="F34" s="190"/>
      <c r="G34" s="222"/>
      <c r="H34" s="224"/>
      <c r="I34" s="222"/>
      <c r="J34" s="188"/>
      <c r="K34" s="127"/>
      <c r="L34" s="233"/>
      <c r="M34" s="233"/>
      <c r="N34" s="233"/>
      <c r="O34" s="233"/>
      <c r="P34" s="190"/>
      <c r="Q34" s="222"/>
      <c r="R34" s="224"/>
      <c r="S34" s="222"/>
      <c r="T34" s="188"/>
      <c r="U34" s="187"/>
      <c r="V34" s="127"/>
      <c r="W34" s="233"/>
      <c r="X34" s="233"/>
      <c r="Y34" s="233"/>
      <c r="Z34" s="233"/>
      <c r="AA34" s="190"/>
      <c r="AB34" s="191"/>
      <c r="AC34" s="222"/>
      <c r="AD34" s="224"/>
      <c r="AE34" s="191"/>
      <c r="AF34" s="222"/>
      <c r="AG34" s="188"/>
      <c r="AH34" s="191"/>
      <c r="AI34" s="127"/>
    </row>
    <row r="35" spans="5:35" ht="13.5" customHeight="1">
      <c r="E35" s="116" t="s">
        <v>131</v>
      </c>
      <c r="F35" s="190"/>
      <c r="G35" s="222"/>
      <c r="H35" s="224"/>
      <c r="I35" s="222"/>
      <c r="J35" s="188"/>
      <c r="K35" s="127"/>
      <c r="L35" s="233"/>
      <c r="M35" s="233"/>
      <c r="N35" s="233"/>
      <c r="O35" s="233"/>
      <c r="P35" s="190"/>
      <c r="Q35" s="222"/>
      <c r="R35" s="224"/>
      <c r="S35" s="222"/>
      <c r="T35" s="188"/>
      <c r="U35" s="187"/>
      <c r="V35" s="127"/>
      <c r="W35" s="233"/>
      <c r="X35" s="233"/>
      <c r="Y35" s="233"/>
      <c r="Z35" s="233"/>
      <c r="AA35" s="190"/>
      <c r="AB35" s="191"/>
      <c r="AC35" s="222"/>
      <c r="AD35" s="224"/>
      <c r="AE35" s="191"/>
      <c r="AF35" s="222"/>
      <c r="AG35" s="188"/>
      <c r="AH35" s="191"/>
      <c r="AI35" s="127"/>
    </row>
    <row r="36" spans="5:35" ht="13.5" customHeight="1">
      <c r="E36" s="116" t="s">
        <v>132</v>
      </c>
      <c r="F36" s="190"/>
      <c r="G36" s="222"/>
      <c r="H36" s="224"/>
      <c r="I36" s="222"/>
      <c r="J36" s="188"/>
      <c r="K36" s="127"/>
      <c r="L36" s="233"/>
      <c r="M36" s="233"/>
      <c r="N36" s="233"/>
      <c r="O36" s="233"/>
      <c r="P36" s="190"/>
      <c r="Q36" s="222"/>
      <c r="R36" s="224"/>
      <c r="S36" s="222"/>
      <c r="T36" s="188"/>
      <c r="U36" s="187"/>
      <c r="V36" s="127"/>
      <c r="W36" s="233"/>
      <c r="X36" s="233"/>
      <c r="Y36" s="233"/>
      <c r="Z36" s="233"/>
      <c r="AA36" s="190"/>
      <c r="AB36" s="191"/>
      <c r="AC36" s="222"/>
      <c r="AD36" s="224"/>
      <c r="AE36" s="191"/>
      <c r="AF36" s="222"/>
      <c r="AG36" s="188"/>
      <c r="AH36" s="191"/>
      <c r="AI36" s="127"/>
    </row>
    <row r="37" spans="5:35" ht="13.5" customHeight="1">
      <c r="E37" s="116" t="s">
        <v>133</v>
      </c>
      <c r="F37" s="190"/>
      <c r="G37" s="222"/>
      <c r="H37" s="224"/>
      <c r="I37" s="222"/>
      <c r="J37" s="188"/>
      <c r="K37" s="127"/>
      <c r="L37" s="233"/>
      <c r="M37" s="233"/>
      <c r="N37" s="233"/>
      <c r="O37" s="233"/>
      <c r="P37" s="190"/>
      <c r="Q37" s="222"/>
      <c r="R37" s="224"/>
      <c r="S37" s="222"/>
      <c r="T37" s="188"/>
      <c r="U37" s="187"/>
      <c r="V37" s="127"/>
      <c r="W37" s="233"/>
      <c r="X37" s="233"/>
      <c r="Y37" s="233"/>
      <c r="Z37" s="233"/>
      <c r="AA37" s="190"/>
      <c r="AB37" s="191"/>
      <c r="AC37" s="222"/>
      <c r="AD37" s="224"/>
      <c r="AE37" s="191"/>
      <c r="AF37" s="222"/>
      <c r="AG37" s="188"/>
      <c r="AH37" s="191"/>
      <c r="AI37" s="127"/>
    </row>
    <row r="38" spans="5:35" ht="13.5" customHeight="1">
      <c r="E38" s="116" t="s">
        <v>134</v>
      </c>
      <c r="F38" s="190"/>
      <c r="G38" s="222"/>
      <c r="H38" s="224"/>
      <c r="I38" s="222"/>
      <c r="J38" s="188"/>
      <c r="K38" s="127"/>
      <c r="L38" s="233"/>
      <c r="M38" s="233"/>
      <c r="N38" s="233"/>
      <c r="O38" s="233"/>
      <c r="P38" s="190"/>
      <c r="Q38" s="222"/>
      <c r="R38" s="224"/>
      <c r="S38" s="222"/>
      <c r="T38" s="188"/>
      <c r="U38" s="187"/>
      <c r="V38" s="127"/>
      <c r="W38" s="233"/>
      <c r="X38" s="233"/>
      <c r="Y38" s="233"/>
      <c r="Z38" s="233"/>
      <c r="AA38" s="190"/>
      <c r="AB38" s="191"/>
      <c r="AC38" s="222"/>
      <c r="AD38" s="224"/>
      <c r="AE38" s="191"/>
      <c r="AF38" s="222"/>
      <c r="AG38" s="188"/>
      <c r="AH38" s="191"/>
      <c r="AI38" s="127"/>
    </row>
    <row r="39" spans="5:35" ht="13.5" customHeight="1">
      <c r="E39" s="116" t="s">
        <v>135</v>
      </c>
      <c r="F39" s="190"/>
      <c r="G39" s="222"/>
      <c r="H39" s="224"/>
      <c r="I39" s="222"/>
      <c r="J39" s="188"/>
      <c r="K39" s="127"/>
      <c r="L39" s="233"/>
      <c r="M39" s="233"/>
      <c r="N39" s="233"/>
      <c r="O39" s="233"/>
      <c r="P39" s="190"/>
      <c r="Q39" s="222"/>
      <c r="R39" s="224"/>
      <c r="S39" s="222"/>
      <c r="T39" s="188"/>
      <c r="U39" s="187"/>
      <c r="V39" s="127"/>
      <c r="W39" s="233"/>
      <c r="X39" s="233"/>
      <c r="Y39" s="233"/>
      <c r="Z39" s="233"/>
      <c r="AA39" s="190"/>
      <c r="AB39" s="191"/>
      <c r="AC39" s="222"/>
      <c r="AD39" s="224"/>
      <c r="AE39" s="191"/>
      <c r="AF39" s="222"/>
      <c r="AG39" s="188"/>
      <c r="AH39" s="191"/>
      <c r="AI39" s="127"/>
    </row>
    <row r="40" spans="5:35" ht="13.5" customHeight="1">
      <c r="E40" s="116" t="s">
        <v>136</v>
      </c>
      <c r="F40" s="190"/>
      <c r="G40" s="222"/>
      <c r="H40" s="224"/>
      <c r="I40" s="222"/>
      <c r="J40" s="188"/>
      <c r="K40" s="127"/>
      <c r="L40" s="233"/>
      <c r="M40" s="233"/>
      <c r="N40" s="233"/>
      <c r="O40" s="233"/>
      <c r="P40" s="190"/>
      <c r="Q40" s="222"/>
      <c r="R40" s="224"/>
      <c r="S40" s="222"/>
      <c r="T40" s="188"/>
      <c r="U40" s="187"/>
      <c r="V40" s="127"/>
      <c r="W40" s="233"/>
      <c r="X40" s="233"/>
      <c r="Y40" s="233"/>
      <c r="Z40" s="233"/>
      <c r="AA40" s="190"/>
      <c r="AB40" s="191"/>
      <c r="AC40" s="222"/>
      <c r="AD40" s="224"/>
      <c r="AE40" s="191"/>
      <c r="AF40" s="222"/>
      <c r="AG40" s="188"/>
      <c r="AH40" s="191"/>
      <c r="AI40" s="127"/>
    </row>
    <row r="41" spans="5:35" ht="13.5" customHeight="1">
      <c r="E41" s="116" t="s">
        <v>137</v>
      </c>
      <c r="F41" s="190"/>
      <c r="G41" s="222"/>
      <c r="H41" s="224"/>
      <c r="I41" s="222"/>
      <c r="J41" s="188"/>
      <c r="K41" s="127"/>
      <c r="L41" s="233"/>
      <c r="M41" s="233"/>
      <c r="N41" s="233"/>
      <c r="O41" s="233"/>
      <c r="P41" s="190"/>
      <c r="Q41" s="222"/>
      <c r="R41" s="224"/>
      <c r="S41" s="222"/>
      <c r="T41" s="188"/>
      <c r="U41" s="187"/>
      <c r="V41" s="127"/>
      <c r="W41" s="233"/>
      <c r="X41" s="233"/>
      <c r="Y41" s="233"/>
      <c r="Z41" s="233"/>
      <c r="AA41" s="190"/>
      <c r="AB41" s="191"/>
      <c r="AC41" s="222"/>
      <c r="AD41" s="224"/>
      <c r="AE41" s="191"/>
      <c r="AF41" s="222"/>
      <c r="AG41" s="188"/>
      <c r="AH41" s="191"/>
      <c r="AI41" s="127"/>
    </row>
    <row r="42" spans="5:35" ht="13.5" customHeight="1">
      <c r="E42" s="116" t="s">
        <v>138</v>
      </c>
      <c r="F42" s="190"/>
      <c r="G42" s="222"/>
      <c r="H42" s="224"/>
      <c r="I42" s="222"/>
      <c r="J42" s="188"/>
      <c r="K42" s="127"/>
      <c r="L42" s="233"/>
      <c r="M42" s="233"/>
      <c r="N42" s="233"/>
      <c r="O42" s="233"/>
      <c r="P42" s="190"/>
      <c r="Q42" s="222"/>
      <c r="R42" s="224"/>
      <c r="S42" s="222"/>
      <c r="T42" s="188"/>
      <c r="U42" s="187"/>
      <c r="V42" s="127"/>
      <c r="W42" s="233"/>
      <c r="X42" s="233"/>
      <c r="Y42" s="233"/>
      <c r="Z42" s="233"/>
      <c r="AA42" s="190"/>
      <c r="AB42" s="191"/>
      <c r="AC42" s="222"/>
      <c r="AD42" s="224"/>
      <c r="AE42" s="191"/>
      <c r="AF42" s="222"/>
      <c r="AG42" s="188"/>
      <c r="AH42" s="191"/>
      <c r="AI42" s="127"/>
    </row>
    <row r="43" spans="5:35" ht="13.5" customHeight="1">
      <c r="E43" s="116" t="s">
        <v>139</v>
      </c>
      <c r="F43" s="190"/>
      <c r="G43" s="222"/>
      <c r="H43" s="224"/>
      <c r="I43" s="222"/>
      <c r="J43" s="188"/>
      <c r="K43" s="127"/>
      <c r="L43" s="233"/>
      <c r="M43" s="233"/>
      <c r="N43" s="233"/>
      <c r="O43" s="233"/>
      <c r="P43" s="190"/>
      <c r="Q43" s="222"/>
      <c r="R43" s="224"/>
      <c r="S43" s="222"/>
      <c r="T43" s="188"/>
      <c r="U43" s="187"/>
      <c r="V43" s="127"/>
      <c r="W43" s="233"/>
      <c r="X43" s="233"/>
      <c r="Y43" s="233"/>
      <c r="Z43" s="233"/>
      <c r="AA43" s="190"/>
      <c r="AB43" s="191"/>
      <c r="AC43" s="222"/>
      <c r="AD43" s="224"/>
      <c r="AE43" s="191"/>
      <c r="AF43" s="222"/>
      <c r="AG43" s="188"/>
      <c r="AH43" s="191"/>
      <c r="AI43" s="127"/>
    </row>
    <row r="44" spans="5:35" ht="13.5" customHeight="1">
      <c r="E44" s="116" t="s">
        <v>140</v>
      </c>
      <c r="F44" s="190"/>
      <c r="G44" s="222"/>
      <c r="H44" s="224"/>
      <c r="I44" s="222"/>
      <c r="J44" s="188"/>
      <c r="K44" s="127"/>
      <c r="L44" s="233"/>
      <c r="M44" s="233"/>
      <c r="N44" s="233"/>
      <c r="O44" s="233"/>
      <c r="P44" s="190"/>
      <c r="Q44" s="222"/>
      <c r="R44" s="224"/>
      <c r="S44" s="222"/>
      <c r="T44" s="188"/>
      <c r="U44" s="187"/>
      <c r="V44" s="127"/>
      <c r="W44" s="233"/>
      <c r="X44" s="233"/>
      <c r="Y44" s="233"/>
      <c r="Z44" s="233"/>
      <c r="AA44" s="190"/>
      <c r="AB44" s="191"/>
      <c r="AC44" s="222"/>
      <c r="AD44" s="224"/>
      <c r="AE44" s="191"/>
      <c r="AF44" s="222"/>
      <c r="AG44" s="188"/>
      <c r="AH44" s="191"/>
      <c r="AI44" s="127"/>
    </row>
    <row r="45" spans="5:35" ht="13.5" customHeight="1">
      <c r="E45" s="116" t="s">
        <v>141</v>
      </c>
      <c r="F45" s="190"/>
      <c r="G45" s="222"/>
      <c r="H45" s="224"/>
      <c r="I45" s="222"/>
      <c r="J45" s="188"/>
      <c r="K45" s="127"/>
      <c r="L45" s="233"/>
      <c r="M45" s="233"/>
      <c r="N45" s="233"/>
      <c r="O45" s="233"/>
      <c r="P45" s="190"/>
      <c r="Q45" s="222"/>
      <c r="R45" s="224"/>
      <c r="S45" s="222"/>
      <c r="T45" s="188"/>
      <c r="U45" s="187"/>
      <c r="V45" s="127"/>
      <c r="W45" s="233"/>
      <c r="X45" s="233"/>
      <c r="Y45" s="233"/>
      <c r="Z45" s="233"/>
      <c r="AA45" s="190"/>
      <c r="AB45" s="191"/>
      <c r="AC45" s="222"/>
      <c r="AD45" s="224"/>
      <c r="AE45" s="191"/>
      <c r="AF45" s="222"/>
      <c r="AG45" s="188"/>
      <c r="AH45" s="191"/>
      <c r="AI45" s="127"/>
    </row>
    <row r="46" spans="5:35" ht="13.5" customHeight="1">
      <c r="E46" s="116" t="s">
        <v>142</v>
      </c>
      <c r="F46" s="190"/>
      <c r="G46" s="222"/>
      <c r="H46" s="224"/>
      <c r="I46" s="222"/>
      <c r="J46" s="188"/>
      <c r="K46" s="127"/>
      <c r="L46" s="233"/>
      <c r="M46" s="233"/>
      <c r="N46" s="233"/>
      <c r="O46" s="233"/>
      <c r="P46" s="190"/>
      <c r="Q46" s="222"/>
      <c r="R46" s="224"/>
      <c r="S46" s="222"/>
      <c r="T46" s="188"/>
      <c r="U46" s="187"/>
      <c r="V46" s="127"/>
      <c r="W46" s="233"/>
      <c r="X46" s="233"/>
      <c r="Y46" s="233"/>
      <c r="Z46" s="233"/>
      <c r="AA46" s="190"/>
      <c r="AB46" s="191"/>
      <c r="AC46" s="222"/>
      <c r="AD46" s="224"/>
      <c r="AE46" s="191"/>
      <c r="AF46" s="222"/>
      <c r="AG46" s="188"/>
      <c r="AH46" s="191"/>
      <c r="AI46" s="127"/>
    </row>
    <row r="47" spans="5:35" ht="13.5" customHeight="1">
      <c r="E47" s="116" t="s">
        <v>143</v>
      </c>
      <c r="F47" s="190"/>
      <c r="G47" s="222"/>
      <c r="H47" s="224"/>
      <c r="I47" s="222"/>
      <c r="J47" s="188"/>
      <c r="K47" s="127"/>
      <c r="L47" s="233"/>
      <c r="M47" s="233"/>
      <c r="N47" s="233"/>
      <c r="O47" s="233"/>
      <c r="P47" s="190"/>
      <c r="Q47" s="222"/>
      <c r="R47" s="224"/>
      <c r="S47" s="222"/>
      <c r="T47" s="188"/>
      <c r="U47" s="187"/>
      <c r="V47" s="127"/>
      <c r="W47" s="233"/>
      <c r="X47" s="233"/>
      <c r="Y47" s="233"/>
      <c r="Z47" s="233"/>
      <c r="AA47" s="190"/>
      <c r="AB47" s="191"/>
      <c r="AC47" s="222"/>
      <c r="AD47" s="224"/>
      <c r="AE47" s="191"/>
      <c r="AF47" s="222"/>
      <c r="AG47" s="188"/>
      <c r="AH47" s="191"/>
      <c r="AI47" s="127"/>
    </row>
    <row r="48" spans="5:35" ht="13.5" customHeight="1">
      <c r="E48" s="116" t="s">
        <v>144</v>
      </c>
      <c r="F48" s="190"/>
      <c r="G48" s="222"/>
      <c r="H48" s="224"/>
      <c r="I48" s="222"/>
      <c r="J48" s="188"/>
      <c r="K48" s="127"/>
      <c r="L48" s="233"/>
      <c r="M48" s="233"/>
      <c r="N48" s="233"/>
      <c r="O48" s="233"/>
      <c r="P48" s="190"/>
      <c r="Q48" s="222"/>
      <c r="R48" s="224"/>
      <c r="S48" s="222"/>
      <c r="T48" s="188"/>
      <c r="U48" s="187"/>
      <c r="V48" s="127"/>
      <c r="W48" s="233"/>
      <c r="X48" s="233"/>
      <c r="Y48" s="233"/>
      <c r="Z48" s="233"/>
      <c r="AA48" s="190"/>
      <c r="AB48" s="191"/>
      <c r="AC48" s="222"/>
      <c r="AD48" s="224"/>
      <c r="AE48" s="191"/>
      <c r="AF48" s="222"/>
      <c r="AG48" s="188"/>
      <c r="AH48" s="191"/>
      <c r="AI48" s="127"/>
    </row>
    <row r="49" spans="5:35" ht="13.5" customHeight="1">
      <c r="E49" s="116" t="s">
        <v>145</v>
      </c>
      <c r="F49" s="190"/>
      <c r="G49" s="222"/>
      <c r="H49" s="224"/>
      <c r="I49" s="222"/>
      <c r="J49" s="188"/>
      <c r="K49" s="127"/>
      <c r="L49" s="233"/>
      <c r="M49" s="233"/>
      <c r="N49" s="233"/>
      <c r="O49" s="233"/>
      <c r="P49" s="190"/>
      <c r="Q49" s="222"/>
      <c r="R49" s="224"/>
      <c r="S49" s="222"/>
      <c r="T49" s="188"/>
      <c r="U49" s="128"/>
      <c r="V49" s="127"/>
      <c r="W49" s="233"/>
      <c r="X49" s="233"/>
      <c r="Y49" s="233"/>
      <c r="Z49" s="233"/>
      <c r="AA49" s="190"/>
      <c r="AB49" s="191"/>
      <c r="AC49" s="222"/>
      <c r="AD49" s="224"/>
      <c r="AE49" s="191"/>
      <c r="AF49" s="222"/>
      <c r="AG49" s="188"/>
      <c r="AH49" s="191"/>
      <c r="AI49" s="127"/>
    </row>
    <row r="50" spans="5:35" ht="13.5" customHeight="1">
      <c r="E50" s="116" t="s">
        <v>146</v>
      </c>
      <c r="F50" s="190"/>
      <c r="G50" s="222"/>
      <c r="H50" s="224"/>
      <c r="I50" s="222"/>
      <c r="J50" s="188"/>
      <c r="K50" s="127"/>
      <c r="L50" s="233"/>
      <c r="M50" s="233"/>
      <c r="N50" s="233"/>
      <c r="O50" s="233"/>
      <c r="P50" s="190"/>
      <c r="Q50" s="222"/>
      <c r="R50" s="224"/>
      <c r="S50" s="222"/>
      <c r="T50" s="188"/>
      <c r="U50" s="128"/>
      <c r="V50" s="127"/>
      <c r="W50" s="233"/>
      <c r="X50" s="233"/>
      <c r="Y50" s="233"/>
      <c r="Z50" s="233"/>
      <c r="AA50" s="190"/>
      <c r="AB50" s="191"/>
      <c r="AC50" s="222"/>
      <c r="AD50" s="224"/>
      <c r="AE50" s="191"/>
      <c r="AF50" s="222"/>
      <c r="AG50" s="188"/>
      <c r="AH50" s="191"/>
      <c r="AI50" s="127"/>
    </row>
    <row r="51" spans="5:35" ht="13.5" customHeight="1">
      <c r="E51" s="116" t="s">
        <v>147</v>
      </c>
      <c r="F51" s="190"/>
      <c r="G51" s="222"/>
      <c r="H51" s="224"/>
      <c r="I51" s="222"/>
      <c r="J51" s="188"/>
      <c r="K51" s="127"/>
      <c r="L51" s="233"/>
      <c r="M51" s="233"/>
      <c r="N51" s="233"/>
      <c r="O51" s="233"/>
      <c r="P51" s="190"/>
      <c r="Q51" s="222"/>
      <c r="R51" s="224"/>
      <c r="S51" s="222"/>
      <c r="T51" s="188"/>
      <c r="U51" s="128"/>
      <c r="V51" s="127"/>
      <c r="W51" s="233"/>
      <c r="X51" s="233"/>
      <c r="Y51" s="233"/>
      <c r="Z51" s="233"/>
      <c r="AA51" s="190"/>
      <c r="AB51" s="191"/>
      <c r="AC51" s="222"/>
      <c r="AD51" s="224"/>
      <c r="AE51" s="191"/>
      <c r="AF51" s="222"/>
      <c r="AG51" s="188"/>
      <c r="AH51" s="191"/>
      <c r="AI51" s="127"/>
    </row>
    <row r="52" spans="5:35" ht="13.5" customHeight="1">
      <c r="E52" s="116" t="s">
        <v>148</v>
      </c>
      <c r="F52" s="190"/>
      <c r="G52" s="222"/>
      <c r="H52" s="224"/>
      <c r="I52" s="222"/>
      <c r="J52" s="188"/>
      <c r="K52" s="127"/>
      <c r="L52" s="233"/>
      <c r="M52" s="233"/>
      <c r="N52" s="233"/>
      <c r="O52" s="233"/>
      <c r="P52" s="190"/>
      <c r="Q52" s="222"/>
      <c r="R52" s="224"/>
      <c r="S52" s="222"/>
      <c r="T52" s="188"/>
      <c r="U52" s="128"/>
      <c r="V52" s="127"/>
      <c r="W52" s="233"/>
      <c r="X52" s="233"/>
      <c r="Y52" s="233"/>
      <c r="Z52" s="233"/>
      <c r="AA52" s="190"/>
      <c r="AB52" s="191"/>
      <c r="AC52" s="222"/>
      <c r="AD52" s="224"/>
      <c r="AE52" s="191"/>
      <c r="AF52" s="222"/>
      <c r="AG52" s="188"/>
      <c r="AH52" s="191"/>
      <c r="AI52" s="127"/>
    </row>
    <row r="53" spans="5:35" ht="13.5" customHeight="1">
      <c r="E53" s="116" t="s">
        <v>149</v>
      </c>
      <c r="F53" s="190"/>
      <c r="G53" s="222"/>
      <c r="H53" s="224"/>
      <c r="I53" s="222"/>
      <c r="J53" s="188"/>
      <c r="K53" s="127"/>
      <c r="L53" s="233"/>
      <c r="M53" s="233"/>
      <c r="N53" s="233"/>
      <c r="O53" s="233"/>
      <c r="P53" s="190"/>
      <c r="Q53" s="222"/>
      <c r="R53" s="224"/>
      <c r="S53" s="222"/>
      <c r="T53" s="188"/>
      <c r="U53" s="128"/>
      <c r="V53" s="127"/>
      <c r="W53" s="233"/>
      <c r="X53" s="233"/>
      <c r="Y53" s="233"/>
      <c r="Z53" s="233"/>
      <c r="AA53" s="190"/>
      <c r="AB53" s="191"/>
      <c r="AC53" s="222"/>
      <c r="AD53" s="224"/>
      <c r="AE53" s="191"/>
      <c r="AF53" s="222"/>
      <c r="AG53" s="188"/>
      <c r="AH53" s="191"/>
      <c r="AI53" s="127"/>
    </row>
    <row r="54" spans="5:35" ht="13.5" customHeight="1">
      <c r="E54" s="116" t="s">
        <v>150</v>
      </c>
      <c r="F54" s="190"/>
      <c r="G54" s="222"/>
      <c r="H54" s="224"/>
      <c r="I54" s="222"/>
      <c r="J54" s="188"/>
      <c r="K54" s="127"/>
      <c r="L54" s="233"/>
      <c r="M54" s="233"/>
      <c r="N54" s="233"/>
      <c r="O54" s="233"/>
      <c r="P54" s="190"/>
      <c r="Q54" s="222"/>
      <c r="R54" s="224"/>
      <c r="S54" s="222"/>
      <c r="T54" s="188"/>
      <c r="U54" s="128"/>
      <c r="V54" s="127"/>
      <c r="W54" s="233"/>
      <c r="X54" s="233"/>
      <c r="Y54" s="233"/>
      <c r="Z54" s="233"/>
      <c r="AA54" s="190"/>
      <c r="AB54" s="191"/>
      <c r="AC54" s="222"/>
      <c r="AD54" s="224"/>
      <c r="AE54" s="191"/>
      <c r="AF54" s="222"/>
      <c r="AG54" s="188"/>
      <c r="AH54" s="191"/>
      <c r="AI54" s="127"/>
    </row>
    <row r="55" spans="5:35" ht="13.5" customHeight="1">
      <c r="E55" s="116" t="s">
        <v>151</v>
      </c>
      <c r="F55" s="190"/>
      <c r="G55" s="222"/>
      <c r="H55" s="224"/>
      <c r="I55" s="222"/>
      <c r="J55" s="188"/>
      <c r="K55" s="127"/>
      <c r="L55" s="233"/>
      <c r="M55" s="233"/>
      <c r="N55" s="233"/>
      <c r="O55" s="233"/>
      <c r="P55" s="190"/>
      <c r="Q55" s="222"/>
      <c r="R55" s="224"/>
      <c r="S55" s="222"/>
      <c r="T55" s="188"/>
      <c r="U55" s="128"/>
      <c r="V55" s="127"/>
      <c r="W55" s="233"/>
      <c r="X55" s="233"/>
      <c r="Y55" s="233"/>
      <c r="Z55" s="233"/>
      <c r="AA55" s="190"/>
      <c r="AB55" s="191"/>
      <c r="AC55" s="222"/>
      <c r="AD55" s="224"/>
      <c r="AE55" s="191"/>
      <c r="AF55" s="222"/>
      <c r="AG55" s="188"/>
      <c r="AH55" s="191"/>
      <c r="AI55" s="127"/>
    </row>
    <row r="56" spans="5:35" ht="13.5" customHeight="1">
      <c r="E56" s="116" t="s">
        <v>152</v>
      </c>
      <c r="F56" s="190"/>
      <c r="G56" s="222"/>
      <c r="H56" s="224"/>
      <c r="I56" s="222"/>
      <c r="J56" s="188"/>
      <c r="K56" s="127"/>
      <c r="L56" s="233"/>
      <c r="M56" s="233"/>
      <c r="N56" s="233"/>
      <c r="O56" s="233"/>
      <c r="P56" s="190"/>
      <c r="Q56" s="222"/>
      <c r="R56" s="224"/>
      <c r="S56" s="222"/>
      <c r="T56" s="188"/>
      <c r="U56" s="128"/>
      <c r="V56" s="127"/>
      <c r="W56" s="233"/>
      <c r="X56" s="233"/>
      <c r="Y56" s="233"/>
      <c r="Z56" s="233"/>
      <c r="AA56" s="190"/>
      <c r="AB56" s="191"/>
      <c r="AC56" s="222"/>
      <c r="AD56" s="224"/>
      <c r="AE56" s="191"/>
      <c r="AF56" s="222"/>
      <c r="AG56" s="188"/>
      <c r="AH56" s="191"/>
      <c r="AI56" s="127"/>
    </row>
    <row r="57" spans="5:35" ht="13.5" customHeight="1">
      <c r="E57" s="116" t="s">
        <v>153</v>
      </c>
      <c r="F57" s="190"/>
      <c r="G57" s="222"/>
      <c r="H57" s="224"/>
      <c r="I57" s="222"/>
      <c r="J57" s="188"/>
      <c r="K57" s="127"/>
      <c r="L57" s="233"/>
      <c r="M57" s="233"/>
      <c r="N57" s="233"/>
      <c r="O57" s="233"/>
      <c r="P57" s="190"/>
      <c r="Q57" s="222"/>
      <c r="R57" s="224"/>
      <c r="S57" s="222"/>
      <c r="T57" s="188"/>
      <c r="U57" s="128"/>
      <c r="V57" s="127"/>
      <c r="W57" s="233"/>
      <c r="X57" s="233"/>
      <c r="Y57" s="233"/>
      <c r="Z57" s="233"/>
      <c r="AA57" s="190"/>
      <c r="AB57" s="191"/>
      <c r="AC57" s="222"/>
      <c r="AD57" s="224"/>
      <c r="AE57" s="191"/>
      <c r="AF57" s="222"/>
      <c r="AG57" s="188"/>
      <c r="AH57" s="191"/>
      <c r="AI57" s="127"/>
    </row>
    <row r="58" spans="5:35" ht="13.5" customHeight="1">
      <c r="E58" s="116" t="s">
        <v>154</v>
      </c>
      <c r="F58" s="190"/>
      <c r="G58" s="222"/>
      <c r="H58" s="224"/>
      <c r="I58" s="222"/>
      <c r="J58" s="188"/>
      <c r="K58" s="127"/>
      <c r="L58" s="233"/>
      <c r="M58" s="233"/>
      <c r="N58" s="233"/>
      <c r="O58" s="233"/>
      <c r="P58" s="190"/>
      <c r="Q58" s="222"/>
      <c r="R58" s="224"/>
      <c r="S58" s="222"/>
      <c r="T58" s="188"/>
      <c r="U58" s="128"/>
      <c r="V58" s="127"/>
      <c r="W58" s="233"/>
      <c r="X58" s="233"/>
      <c r="Y58" s="233"/>
      <c r="Z58" s="233"/>
      <c r="AA58" s="190"/>
      <c r="AB58" s="191"/>
      <c r="AC58" s="222"/>
      <c r="AD58" s="224"/>
      <c r="AE58" s="191"/>
      <c r="AF58" s="222"/>
      <c r="AG58" s="188"/>
      <c r="AH58" s="191"/>
      <c r="AI58" s="127"/>
    </row>
    <row r="59" spans="5:35" ht="13.5" customHeight="1">
      <c r="E59" s="116" t="s">
        <v>155</v>
      </c>
      <c r="F59" s="190"/>
      <c r="G59" s="222"/>
      <c r="H59" s="224"/>
      <c r="I59" s="222"/>
      <c r="J59" s="188"/>
      <c r="K59" s="127"/>
      <c r="L59" s="233"/>
      <c r="M59" s="233"/>
      <c r="N59" s="233"/>
      <c r="O59" s="233"/>
      <c r="P59" s="190"/>
      <c r="Q59" s="222"/>
      <c r="R59" s="224"/>
      <c r="S59" s="222"/>
      <c r="T59" s="188"/>
      <c r="U59" s="128"/>
      <c r="V59" s="127"/>
      <c r="W59" s="233"/>
      <c r="X59" s="233"/>
      <c r="Y59" s="233"/>
      <c r="Z59" s="233"/>
      <c r="AA59" s="190"/>
      <c r="AB59" s="191"/>
      <c r="AC59" s="222"/>
      <c r="AD59" s="224"/>
      <c r="AE59" s="191"/>
      <c r="AF59" s="222"/>
      <c r="AG59" s="188"/>
      <c r="AH59" s="191"/>
      <c r="AI59" s="127"/>
    </row>
    <row r="60" spans="5:35" ht="13.5" customHeight="1">
      <c r="E60" s="116" t="s">
        <v>156</v>
      </c>
      <c r="F60" s="190"/>
      <c r="G60" s="222"/>
      <c r="H60" s="224"/>
      <c r="I60" s="222"/>
      <c r="J60" s="188"/>
      <c r="K60" s="127"/>
      <c r="L60" s="233"/>
      <c r="M60" s="233"/>
      <c r="N60" s="233"/>
      <c r="O60" s="233"/>
      <c r="P60" s="190"/>
      <c r="Q60" s="222"/>
      <c r="R60" s="224"/>
      <c r="S60" s="222"/>
      <c r="T60" s="188"/>
      <c r="U60" s="128"/>
      <c r="V60" s="127"/>
      <c r="W60" s="233"/>
      <c r="X60" s="233"/>
      <c r="Y60" s="233"/>
      <c r="Z60" s="233"/>
      <c r="AA60" s="190"/>
      <c r="AB60" s="191"/>
      <c r="AC60" s="222"/>
      <c r="AD60" s="224"/>
      <c r="AE60" s="191"/>
      <c r="AF60" s="222"/>
      <c r="AG60" s="188"/>
      <c r="AH60" s="191"/>
      <c r="AI60" s="127"/>
    </row>
    <row r="61" spans="5:35" ht="13.5" customHeight="1">
      <c r="E61" s="117" t="s">
        <v>157</v>
      </c>
      <c r="F61" s="129"/>
      <c r="G61" s="223"/>
      <c r="H61" s="225"/>
      <c r="I61" s="223"/>
      <c r="J61" s="189"/>
      <c r="K61" s="130"/>
      <c r="L61" s="233"/>
      <c r="M61" s="233"/>
      <c r="N61" s="233"/>
      <c r="O61" s="233"/>
      <c r="P61" s="129"/>
      <c r="Q61" s="223"/>
      <c r="R61" s="225"/>
      <c r="S61" s="223"/>
      <c r="T61" s="189"/>
      <c r="U61" s="237"/>
      <c r="V61" s="130"/>
      <c r="W61" s="233"/>
      <c r="X61" s="233"/>
      <c r="Y61" s="233"/>
      <c r="Z61" s="233"/>
      <c r="AA61" s="129"/>
      <c r="AB61" s="221"/>
      <c r="AC61" s="223"/>
      <c r="AD61" s="225"/>
      <c r="AE61" s="221"/>
      <c r="AF61" s="223"/>
      <c r="AG61" s="189"/>
      <c r="AH61" s="221"/>
      <c r="AI61" s="130"/>
    </row>
    <row r="62" spans="5:35" s="41" customFormat="1" ht="10.5" customHeight="1">
      <c r="E62" s="236"/>
      <c r="F62" s="705">
        <f>IF(AND(COUNTIF($F$10:$G$61,"")=104,$AG$93&gt;0),"",IF(COUNTIF($F$10:$G$61,62)&gt;=10,"",IF(COUNTIF($F$10:$G$61,62)=0,"OPOZORILO 1","")))</f>
      </c>
      <c r="G62" s="705"/>
      <c r="H62" s="705">
        <f>IF(AND(COUNTIF($H$10:$I$61,"")=104,$AG$93&gt;0),"",IF(COUNTIF($H$10:$I$61,62)&gt;=10,"",IF(COUNTIF($H$10:$I$61,62)=0,"OPOZORILO 1","")))</f>
      </c>
      <c r="I62" s="705"/>
      <c r="J62" s="705">
        <f>IF(AND(COUNTIF($J$10:$K$61,"")=104,$AG$93&gt;0),"",IF(COUNTIF($J$10:$K$61,62)&gt;=10,"",IF(COUNTIF($J$10:$K$61,62)=0,"OPOZORILO 1","")))</f>
      </c>
      <c r="K62" s="705"/>
      <c r="L62" s="292"/>
      <c r="M62" s="292"/>
      <c r="N62" s="292"/>
      <c r="O62" s="292"/>
      <c r="P62" s="710">
        <f>IF(AND(COUNTIF($P$10:$Q$61,"")=104,$AG$93&gt;0),"",IF(COUNTIF($P$10:$Q$61,62)&gt;=10,"",IF(COUNTIF($P$10:$Q$61,62)=0,"OPOZORILO 1","")))</f>
      </c>
      <c r="Q62" s="710"/>
      <c r="R62" s="710">
        <f>IF(AND(COUNTIF($R$10:$S$61,"")=104,$AG$93&gt;0),"",IF(COUNTIF($R$10:$S$61,62)&gt;=10,"",IF(COUNTIF($R$10:$S$61,62)=0,"OPOZORILO 1","")))</f>
      </c>
      <c r="S62" s="710"/>
      <c r="T62" s="710">
        <f>IF(AND(COUNTIF($T$10:$V$61,"")=156,$AG$93&gt;0),"",IF(COUNTIF($T$10:$V$61,62)&gt;=10,"",IF(COUNTIF($T$10:$V$61,62)=0,"OPOZORILO 1","")))</f>
      </c>
      <c r="U62" s="710"/>
      <c r="V62" s="710"/>
      <c r="W62" s="292"/>
      <c r="X62" s="292"/>
      <c r="Y62" s="292"/>
      <c r="Z62" s="292"/>
      <c r="AA62" s="705">
        <f>IF(AND(COUNTIF($AA$10:$AC$61,"")=156,$AG$93&gt;0),"",IF(COUNTIF($AA$10:$AC$61,62)&gt;=10,"",IF(COUNTIF($AA$10:$AC$61,62)=0,"OPOZORILO 1","")))</f>
      </c>
      <c r="AB62" s="705"/>
      <c r="AC62" s="705"/>
      <c r="AD62" s="705">
        <f>IF(AND(COUNTIF($AD$10:$AF$61,"")=156,$AG$93&gt;0),"",IF(COUNTIF($AD$10:$AF$61,62)&gt;=10,"",IF(COUNTIF($AD$10:$AF$61,62)=0,"OPOZORILO 1","")))</f>
      </c>
      <c r="AE62" s="705"/>
      <c r="AF62" s="705"/>
      <c r="AG62" s="705">
        <f>IF(AND(COUNTIF($AG$10:$AI$61,"")=156,$AG$93&gt;0),"",IF(COUNTIF($AG$10:$AI$61,62)&gt;=10,"",IF(COUNTIF($AG$10:$AI$61,62)=0,"OPOZORILO 1","")))</f>
      </c>
      <c r="AH62" s="705"/>
      <c r="AI62" s="705"/>
    </row>
    <row r="63" spans="5:35" s="41" customFormat="1" ht="10.5" customHeight="1">
      <c r="E63" s="236"/>
      <c r="F63" s="704">
        <f>IF(AND(COUNTIF($F$10:$G$61,"")=104,$AG$93&gt;0),"",IF(COUNTIF($F$10:$G$61,63)&gt;=2,"",IF(COUNTIF($F$10:$G$61,63)=0,"OPOZORILO 2","")))</f>
      </c>
      <c r="G63" s="704"/>
      <c r="H63" s="704">
        <f>IF(AND(COUNTIF($H$10:$I$61,"")=104,$AG$93&gt;0),"",IF(COUNTIF($H$10:$I$61,63)&gt;=2,"",IF(COUNTIF($H$10:$I$61,63)=0,"OPOZORILO 2","")))</f>
      </c>
      <c r="I63" s="704"/>
      <c r="J63" s="704">
        <f>IF(AND(COUNTIF($J$10:$K$61,"")=104,$AG$93&gt;0),"",IF(COUNTIF($J$10:$K$61,63)&gt;=2,"",IF(COUNTIF($J$10:$K$61,63)=0,"OPOZORILO 2","")))</f>
      </c>
      <c r="K63" s="704"/>
      <c r="L63" s="293"/>
      <c r="M63" s="293"/>
      <c r="N63" s="293"/>
      <c r="O63" s="293"/>
      <c r="P63" s="692">
        <f>IF(AND(COUNTIF($P$10:$Q$61,"")=104,$AG$93&gt;0),"",IF(COUNTIF($P$10:$Q$61,63)&gt;=2,"",IF(COUNTIF($P$10:$Q$61,63)=0,"OPOZORILO 2","")))</f>
      </c>
      <c r="Q63" s="692"/>
      <c r="R63" s="692">
        <f>IF(AND(COUNTIF($R$10:$S$61,"")=104,$AG$93&gt;0),"",IF(COUNTIF($R$10:$S$61,63)&gt;=2,"",IF(COUNTIF($R$10:$S$61,63)=0,"OPOZORILO 2","")))</f>
      </c>
      <c r="S63" s="692"/>
      <c r="T63" s="692">
        <f>IF(AND(COUNTIF($T$10:$V$61,"")=156,$AG$93&gt;0),"",IF(COUNTIF($T$10:$V$61,63)&gt;=2,"",IF(COUNTIF($T$10:$V$61,63)=0,"OPOZORILO 2","")))</f>
      </c>
      <c r="U63" s="692"/>
      <c r="V63" s="692"/>
      <c r="W63" s="293"/>
      <c r="X63" s="293"/>
      <c r="Y63" s="293"/>
      <c r="Z63" s="293"/>
      <c r="AA63" s="704">
        <f>IF(AND(COUNTIF($AA$10:$AC$61,"")=156,$AG$93&gt;0),"",IF(COUNTIF($AA$10:$AC$61,63)&gt;=2,"",IF(COUNTIF($AA$10:$AC$61,63)=0,"OPOZORILO 2","")))</f>
      </c>
      <c r="AB63" s="704"/>
      <c r="AC63" s="704"/>
      <c r="AD63" s="704">
        <f>IF(AND(COUNTIF($AD$10:$AF$61,"")=156,$AG$93&gt;0),"",IF(COUNTIF($AD$10:$AF$61,63)&gt;=2,"",IF(COUNTIF($AD$10:$AF$61,63)=0,"OPOZORILO 2","")))</f>
      </c>
      <c r="AE63" s="704"/>
      <c r="AF63" s="704"/>
      <c r="AG63" s="704">
        <f>IF(AND(COUNTIF($AG$10:$AI$61,"")=156,$AG$93&gt;0),"",IF(COUNTIF($AG$10:$AI$61,63)&gt;=2,"",IF(COUNTIF($AG$10:$AI$61,63)=0,"OPOZORILO 2","")))</f>
      </c>
      <c r="AH63" s="704"/>
      <c r="AI63" s="704"/>
    </row>
    <row r="64" spans="1:35" ht="10.5" customHeight="1">
      <c r="A64" s="118"/>
      <c r="B64" s="118"/>
      <c r="C64" s="118"/>
      <c r="D64" s="119"/>
      <c r="F64" s="711" t="str">
        <f>IF(L98&lt;12,IF(L98=0," ","NAPAKA")," ")</f>
        <v> </v>
      </c>
      <c r="G64" s="711"/>
      <c r="H64" s="711"/>
      <c r="I64" s="711"/>
      <c r="J64" s="711"/>
      <c r="K64" s="711"/>
      <c r="P64" s="711" t="str">
        <f>IF(M98&lt;12,IF(M98=0," ","NAPAKA")," ")</f>
        <v> </v>
      </c>
      <c r="Q64" s="711"/>
      <c r="R64" s="711"/>
      <c r="S64" s="711"/>
      <c r="T64" s="711"/>
      <c r="U64" s="711"/>
      <c r="V64" s="711"/>
      <c r="AA64" s="711" t="str">
        <f>IF(N98&lt;12,IF(N98=0," ","NAPAKA")," ")</f>
        <v> </v>
      </c>
      <c r="AB64" s="711"/>
      <c r="AC64" s="711"/>
      <c r="AD64" s="711"/>
      <c r="AE64" s="711"/>
      <c r="AF64" s="711"/>
      <c r="AG64" s="711"/>
      <c r="AH64" s="711"/>
      <c r="AI64" s="711"/>
    </row>
    <row r="65" spans="1:35" ht="15">
      <c r="A65" s="118"/>
      <c r="B65" s="118"/>
      <c r="C65" s="118"/>
      <c r="D65" s="119"/>
      <c r="E65" s="234" t="str">
        <f>IF(OR(F64="NAPAKA",P64="NAPAKA",AA64="NAPAKA"),"V triletju, pri katerem se pod tabelo pojavlja NAPAKA, je predvidena predstavitev premajhnega števila športnih panog - manj kot 12. POPRAVITE!"," ")</f>
        <v> </v>
      </c>
      <c r="F65" s="120"/>
      <c r="G65" s="120"/>
      <c r="H65" s="120"/>
      <c r="I65" s="120"/>
      <c r="J65" s="121"/>
      <c r="K65" s="121"/>
      <c r="L65" s="118"/>
      <c r="M65" s="118"/>
      <c r="N65" s="118"/>
      <c r="O65" s="121"/>
      <c r="P65" s="121"/>
      <c r="Q65" s="121"/>
      <c r="R65" s="121"/>
      <c r="S65" s="121"/>
      <c r="T65" s="121"/>
      <c r="U65" s="121"/>
      <c r="V65" s="121"/>
      <c r="W65" s="121"/>
      <c r="X65" s="118"/>
      <c r="Y65" s="118"/>
      <c r="Z65" s="118"/>
      <c r="AA65" s="118"/>
      <c r="AB65" s="118"/>
      <c r="AC65" s="118"/>
      <c r="AD65" s="118"/>
      <c r="AE65" s="121"/>
      <c r="AF65" s="121"/>
      <c r="AG65" s="121"/>
      <c r="AH65" s="121"/>
      <c r="AI65" s="121"/>
    </row>
    <row r="66" spans="1:35" ht="15">
      <c r="A66" s="118"/>
      <c r="B66" s="118"/>
      <c r="C66" s="118"/>
      <c r="D66" s="119"/>
      <c r="E66" s="240">
        <f>IF(OR($F$62="OPOZORILO 1",$H$62="OPOZORILO 1",$J$62="OPOZORILO 1",$P$62="OPOZORILO 1",$R$62="OPOZORILO 1",$T$62="OPOZORILO 1",$AA$62="OPOZORILO 1",$AD$62="OPOZORILO 1",$AG$62="OPOZORILO 1"),"V razredu, pri katerem se pod tabelo pojavlja OPOZORILO 1, je predvideno premajhno število ur korektivnih vsebin na leto (najmanj 10).","")</f>
      </c>
      <c r="F66" s="121"/>
      <c r="G66" s="121"/>
      <c r="H66" s="121"/>
      <c r="I66" s="121"/>
      <c r="J66" s="121"/>
      <c r="K66" s="121"/>
      <c r="L66" s="118"/>
      <c r="M66" s="118"/>
      <c r="N66" s="118"/>
      <c r="O66" s="121"/>
      <c r="P66" s="121"/>
      <c r="Q66" s="121"/>
      <c r="R66" s="121"/>
      <c r="S66" s="121"/>
      <c r="T66" s="121"/>
      <c r="U66" s="121"/>
      <c r="V66" s="121"/>
      <c r="W66" s="121"/>
      <c r="X66" s="118"/>
      <c r="Y66" s="118"/>
      <c r="Z66" s="118"/>
      <c r="AA66" s="118"/>
      <c r="AB66" s="118"/>
      <c r="AC66" s="118"/>
      <c r="AD66" s="118"/>
      <c r="AE66" s="121"/>
      <c r="AF66" s="121"/>
      <c r="AG66" s="121"/>
      <c r="AH66" s="121"/>
      <c r="AI66" s="121"/>
    </row>
    <row r="67" spans="1:35" ht="15">
      <c r="A67" s="118"/>
      <c r="B67" s="118"/>
      <c r="C67" s="118"/>
      <c r="D67" s="119"/>
      <c r="E67" s="240">
        <f>IF(OR($F$63="OPOZORILO 2",$H$63="OPOZORILO 2",$J$63="OPOZORILO 2",$P$63="OPOZORILO 2",$R$63="OPOZORILO 2",$T$63="OPOZORILO 2",$AA$63="OPOZORILO 2",$AD$63="OPOZORILO 2",$AG$63="OPOZORILO 2"),"V razredu, pri katerem se pod tabelo pojavlja OPOZORILO 2, število ur namenjenih teoretičnim vsebinam o zdravem načinu življenja odstopa od predpisanega (2 uri na leto).","")</f>
      </c>
      <c r="F67" s="121"/>
      <c r="G67" s="121"/>
      <c r="H67" s="121"/>
      <c r="I67" s="121"/>
      <c r="J67" s="121"/>
      <c r="K67" s="121"/>
      <c r="L67" s="118"/>
      <c r="M67" s="118"/>
      <c r="N67" s="118"/>
      <c r="O67" s="121"/>
      <c r="P67" s="121"/>
      <c r="Q67" s="121"/>
      <c r="R67" s="121"/>
      <c r="S67" s="121"/>
      <c r="T67" s="121"/>
      <c r="U67" s="121"/>
      <c r="V67" s="121"/>
      <c r="W67" s="121"/>
      <c r="X67" s="118"/>
      <c r="Y67" s="118"/>
      <c r="Z67" s="118"/>
      <c r="AA67" s="118"/>
      <c r="AB67" s="118"/>
      <c r="AC67" s="118"/>
      <c r="AD67" s="118"/>
      <c r="AE67" s="121"/>
      <c r="AF67" s="121"/>
      <c r="AG67" s="121"/>
      <c r="AH67" s="121"/>
      <c r="AI67" s="121"/>
    </row>
    <row r="68" spans="1:35" ht="3.75" customHeight="1">
      <c r="A68" s="118"/>
      <c r="B68" s="118"/>
      <c r="C68" s="118"/>
      <c r="D68" s="119"/>
      <c r="E68" s="238"/>
      <c r="F68" s="121"/>
      <c r="G68" s="121"/>
      <c r="H68" s="121"/>
      <c r="I68" s="121"/>
      <c r="J68" s="121"/>
      <c r="K68" s="121"/>
      <c r="L68" s="118"/>
      <c r="M68" s="118"/>
      <c r="N68" s="118"/>
      <c r="O68" s="121"/>
      <c r="P68" s="121"/>
      <c r="Q68" s="121"/>
      <c r="R68" s="121"/>
      <c r="S68" s="121"/>
      <c r="T68" s="121"/>
      <c r="U68" s="121"/>
      <c r="V68" s="121"/>
      <c r="W68" s="121"/>
      <c r="X68" s="118"/>
      <c r="Y68" s="118"/>
      <c r="Z68" s="118"/>
      <c r="AA68" s="118"/>
      <c r="AB68" s="118"/>
      <c r="AC68" s="118"/>
      <c r="AD68" s="118"/>
      <c r="AE68" s="121"/>
      <c r="AF68" s="121"/>
      <c r="AG68" s="121"/>
      <c r="AH68" s="121"/>
      <c r="AI68" s="121"/>
    </row>
    <row r="69" spans="1:35" ht="15">
      <c r="A69" s="118"/>
      <c r="B69" s="118"/>
      <c r="C69" s="118"/>
      <c r="D69" s="119"/>
      <c r="E69" s="239" t="str">
        <f>IF($AG$93&gt;0,"Navedite urbane športe, ki jih boste predstavili:","")</f>
        <v>Navedite urbane športe, ki jih boste predstavili:</v>
      </c>
      <c r="F69" s="121"/>
      <c r="G69" s="121"/>
      <c r="H69" s="121"/>
      <c r="I69" s="121"/>
      <c r="J69" s="121"/>
      <c r="K69" s="121"/>
      <c r="L69" s="118"/>
      <c r="M69" s="118"/>
      <c r="N69" s="118"/>
      <c r="O69" s="121"/>
      <c r="P69" s="121"/>
      <c r="Q69" s="707"/>
      <c r="R69" s="707"/>
      <c r="S69" s="707"/>
      <c r="T69" s="707"/>
      <c r="U69" s="707"/>
      <c r="V69" s="707"/>
      <c r="W69" s="707"/>
      <c r="X69" s="707"/>
      <c r="Y69" s="707"/>
      <c r="Z69" s="707"/>
      <c r="AA69" s="707"/>
      <c r="AB69" s="707"/>
      <c r="AC69" s="707"/>
      <c r="AD69" s="707"/>
      <c r="AE69" s="707"/>
      <c r="AF69" s="707"/>
      <c r="AG69" s="707"/>
      <c r="AH69" s="707"/>
      <c r="AI69" s="707"/>
    </row>
    <row r="70" spans="1:35" ht="15">
      <c r="A70" s="118"/>
      <c r="B70" s="118"/>
      <c r="C70" s="118"/>
      <c r="D70" s="119"/>
      <c r="E70" s="234">
        <f>IF($O$98="","",IF(AND($AG$93&gt;"",$Q$69=""),"Niste vpisali katere urbane športe boste predstavili. VPIŠITE ! - NAPAKA !",IF(AND($AG$93&gt;0,$Q$69&lt;&gt;""),"",IF($O$98=0,"","V tabeli niste predvideli predstavitve urbanih športov. V tabelo vpišite številko urbanih športov. NAPAKA !"))))</f>
      </c>
      <c r="F70" s="121"/>
      <c r="G70" s="121"/>
      <c r="H70" s="121"/>
      <c r="I70" s="121"/>
      <c r="J70" s="121"/>
      <c r="K70" s="121"/>
      <c r="L70" s="118"/>
      <c r="M70" s="118"/>
      <c r="N70" s="118"/>
      <c r="O70" s="121"/>
      <c r="P70" s="121"/>
      <c r="Q70" s="121"/>
      <c r="R70" s="121"/>
      <c r="S70" s="121"/>
      <c r="T70" s="121"/>
      <c r="U70" s="121"/>
      <c r="V70" s="121"/>
      <c r="W70" s="121"/>
      <c r="X70" s="118"/>
      <c r="Y70" s="118"/>
      <c r="Z70" s="118"/>
      <c r="AA70" s="118"/>
      <c r="AB70" s="118"/>
      <c r="AC70" s="118"/>
      <c r="AD70" s="118"/>
      <c r="AE70" s="121"/>
      <c r="AF70" s="121"/>
      <c r="AG70" s="121"/>
      <c r="AH70" s="121"/>
      <c r="AI70" s="121"/>
    </row>
    <row r="71" spans="1:35" ht="14.25">
      <c r="A71" s="118"/>
      <c r="B71" s="118"/>
      <c r="C71" s="118"/>
      <c r="D71" s="119"/>
      <c r="E71" s="234"/>
      <c r="F71" s="121"/>
      <c r="G71" s="121"/>
      <c r="H71" s="121"/>
      <c r="I71" s="121"/>
      <c r="J71" s="121"/>
      <c r="K71" s="121"/>
      <c r="L71" s="118"/>
      <c r="M71" s="118"/>
      <c r="N71" s="118"/>
      <c r="O71" s="121"/>
      <c r="P71" s="121"/>
      <c r="Q71" s="121"/>
      <c r="R71" s="121"/>
      <c r="S71" s="121"/>
      <c r="T71" s="121"/>
      <c r="U71" s="121"/>
      <c r="V71" s="121"/>
      <c r="W71" s="121"/>
      <c r="X71" s="118"/>
      <c r="Y71" s="118"/>
      <c r="Z71" s="118"/>
      <c r="AA71" s="118"/>
      <c r="AB71" s="118"/>
      <c r="AC71" s="118"/>
      <c r="AD71" s="118"/>
      <c r="AE71" s="121"/>
      <c r="AF71" s="121"/>
      <c r="AG71" s="121"/>
      <c r="AH71" s="121"/>
      <c r="AI71" s="121"/>
    </row>
    <row r="72" spans="1:35" ht="3.75" customHeight="1">
      <c r="A72" s="118"/>
      <c r="B72" s="118"/>
      <c r="C72" s="118"/>
      <c r="D72" s="119"/>
      <c r="E72" s="238"/>
      <c r="F72" s="121"/>
      <c r="G72" s="121"/>
      <c r="H72" s="121"/>
      <c r="I72" s="121"/>
      <c r="J72" s="121"/>
      <c r="K72" s="121"/>
      <c r="L72" s="118"/>
      <c r="M72" s="118"/>
      <c r="N72" s="118"/>
      <c r="O72" s="121"/>
      <c r="P72" s="121"/>
      <c r="Q72" s="121"/>
      <c r="R72" s="121"/>
      <c r="S72" s="121"/>
      <c r="T72" s="121"/>
      <c r="U72" s="121"/>
      <c r="V72" s="121"/>
      <c r="W72" s="121"/>
      <c r="X72" s="118"/>
      <c r="Y72" s="118"/>
      <c r="Z72" s="118"/>
      <c r="AA72" s="118"/>
      <c r="AB72" s="118"/>
      <c r="AC72" s="118"/>
      <c r="AD72" s="118"/>
      <c r="AE72" s="121"/>
      <c r="AF72" s="121"/>
      <c r="AG72" s="121"/>
      <c r="AH72" s="121"/>
      <c r="AI72" s="121"/>
    </row>
    <row r="73" spans="1:35" ht="14.25">
      <c r="A73" s="118"/>
      <c r="B73" s="118"/>
      <c r="C73" s="118"/>
      <c r="E73" s="122" t="s">
        <v>158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</row>
    <row r="74" spans="1:33" ht="14.25">
      <c r="A74" s="118"/>
      <c r="B74" s="118"/>
      <c r="C74" s="118"/>
      <c r="D74" s="118"/>
      <c r="E74" s="287" t="s">
        <v>159</v>
      </c>
      <c r="F74" s="706" t="s">
        <v>99</v>
      </c>
      <c r="G74" s="706"/>
      <c r="H74" s="706"/>
      <c r="I74" s="706"/>
      <c r="J74" s="232" t="s">
        <v>294</v>
      </c>
      <c r="L74" s="287"/>
      <c r="M74" s="287"/>
      <c r="N74" s="287"/>
      <c r="O74" s="118"/>
      <c r="P74" s="287" t="s">
        <v>159</v>
      </c>
      <c r="Q74" s="706" t="s">
        <v>99</v>
      </c>
      <c r="R74" s="706"/>
      <c r="S74" s="706"/>
      <c r="T74" s="706"/>
      <c r="U74" s="232" t="s">
        <v>294</v>
      </c>
      <c r="W74" s="123"/>
      <c r="X74" s="287"/>
      <c r="Y74" s="287"/>
      <c r="Z74" s="287"/>
      <c r="AA74" s="287" t="s">
        <v>159</v>
      </c>
      <c r="AB74" s="706" t="s">
        <v>99</v>
      </c>
      <c r="AC74" s="706"/>
      <c r="AD74" s="706"/>
      <c r="AE74" s="706"/>
      <c r="AG74" s="232" t="s">
        <v>294</v>
      </c>
    </row>
    <row r="75" spans="1:34" ht="14.25">
      <c r="A75" s="287">
        <f>COUNTIF(F$10:K$61,1)</f>
        <v>0</v>
      </c>
      <c r="B75" s="287">
        <f>COUNTIF(P$10:V$61,1)</f>
        <v>0</v>
      </c>
      <c r="C75" s="287">
        <f>COUNTIF(AA$10:AI$61,1)</f>
        <v>0</v>
      </c>
      <c r="E75" s="287">
        <v>1</v>
      </c>
      <c r="F75" s="709" t="s">
        <v>39</v>
      </c>
      <c r="G75" s="709"/>
      <c r="H75" s="709"/>
      <c r="I75" s="709"/>
      <c r="J75" s="287">
        <f>COUNTIF($F$10:$AI$61,1)</f>
        <v>0</v>
      </c>
      <c r="K75" s="332">
        <f>J75+'obrazec 7'!H11+'obrazec 8'!K39:L39</f>
        <v>0</v>
      </c>
      <c r="L75" s="287">
        <f>COUNTIF($F$10:$K$61,22)</f>
        <v>0</v>
      </c>
      <c r="M75" s="287">
        <f>COUNTIF($P$10:$V$61,22)</f>
        <v>0</v>
      </c>
      <c r="N75" s="287">
        <f>COUNTIF($AA$10:$AI$61,22)</f>
        <v>0</v>
      </c>
      <c r="P75" s="124">
        <v>22</v>
      </c>
      <c r="Q75" s="709" t="s">
        <v>60</v>
      </c>
      <c r="R75" s="709"/>
      <c r="S75" s="709"/>
      <c r="T75" s="709"/>
      <c r="U75" s="287">
        <f>COUNTIF($F$10:$AI$61,22)</f>
        <v>0</v>
      </c>
      <c r="V75" s="332">
        <f>U75+'obrazec 7'!L11+'obrazec 8'!X39</f>
        <v>0</v>
      </c>
      <c r="W75" s="287">
        <f>COUNTIF($F$10:$K$61,43)</f>
        <v>0</v>
      </c>
      <c r="X75" s="287">
        <f>COUNTIF($P$10:$V$61,43)</f>
        <v>0</v>
      </c>
      <c r="Y75" s="287">
        <f>COUNTIF($AA$10:$AI$61,43)</f>
        <v>0</v>
      </c>
      <c r="AA75" s="124">
        <v>43</v>
      </c>
      <c r="AB75" s="708" t="s">
        <v>80</v>
      </c>
      <c r="AC75" s="708"/>
      <c r="AD75" s="708"/>
      <c r="AE75" s="708"/>
      <c r="AF75" s="708"/>
      <c r="AG75" s="287">
        <f>COUNTIF($F$10:$AI$61,43)</f>
        <v>0</v>
      </c>
      <c r="AH75" s="332">
        <f>AG75+'obrazec 7'!P10+'obrazec 8'!AP39</f>
        <v>0</v>
      </c>
    </row>
    <row r="76" spans="1:34" ht="14.25">
      <c r="A76" s="287">
        <f>COUNTIF(F$10:K$61,2)</f>
        <v>0</v>
      </c>
      <c r="B76" s="287">
        <f>COUNTIF(P$10:V$61,2)</f>
        <v>0</v>
      </c>
      <c r="C76" s="287">
        <f>COUNTIF(AA$10:AI$61,2)</f>
        <v>0</v>
      </c>
      <c r="E76" s="287">
        <v>2</v>
      </c>
      <c r="F76" s="709" t="s">
        <v>40</v>
      </c>
      <c r="G76" s="709"/>
      <c r="H76" s="709"/>
      <c r="I76" s="709"/>
      <c r="J76" s="287">
        <f>COUNTIF($F$10:$AI$61,2)</f>
        <v>0</v>
      </c>
      <c r="K76" s="332">
        <f>J76+'obrazec 7'!H12+'obrazec 8'!K40:L40</f>
        <v>0</v>
      </c>
      <c r="L76" s="287">
        <f>COUNTIF($F$10:$K$61,23)</f>
        <v>0</v>
      </c>
      <c r="M76" s="287">
        <f>COUNTIF($P$10:$V$61,23)</f>
        <v>0</v>
      </c>
      <c r="N76" s="287">
        <f>COUNTIF($AA$10:$AI$61,23)</f>
        <v>0</v>
      </c>
      <c r="P76" s="124">
        <v>23</v>
      </c>
      <c r="Q76" s="709" t="s">
        <v>61</v>
      </c>
      <c r="R76" s="709"/>
      <c r="S76" s="709"/>
      <c r="T76" s="709"/>
      <c r="U76" s="287">
        <f>COUNTIF($F$10:$AI$61,23)</f>
        <v>0</v>
      </c>
      <c r="V76" s="332">
        <f>U76+'obrazec 7'!L12+'obrazec 8'!X40</f>
        <v>0</v>
      </c>
      <c r="W76" s="287">
        <f>COUNTIF($F$10:$K$61,44)</f>
        <v>0</v>
      </c>
      <c r="X76" s="287">
        <f>COUNTIF($P$10:$V$61,44)</f>
        <v>0</v>
      </c>
      <c r="Y76" s="287">
        <f>COUNTIF($AA$10:$AI$61,44)</f>
        <v>0</v>
      </c>
      <c r="AA76" s="124">
        <v>44</v>
      </c>
      <c r="AB76" s="708" t="s">
        <v>81</v>
      </c>
      <c r="AC76" s="708"/>
      <c r="AD76" s="708"/>
      <c r="AE76" s="708"/>
      <c r="AF76" s="708"/>
      <c r="AG76" s="287">
        <f>COUNTIF($F$10:$AI$61,44)</f>
        <v>0</v>
      </c>
      <c r="AH76" s="332">
        <f>AG76+'obrazec 7'!P11+'obrazec 8'!AP40</f>
        <v>0</v>
      </c>
    </row>
    <row r="77" spans="1:34" ht="14.25">
      <c r="A77" s="287">
        <f>COUNTIF(F$10:K$61,3)</f>
        <v>0</v>
      </c>
      <c r="B77" s="287">
        <f>COUNTIF(P$10:V$61,3)</f>
        <v>0</v>
      </c>
      <c r="C77" s="287">
        <f>COUNTIF(AA$10:AI$61,3)</f>
        <v>0</v>
      </c>
      <c r="E77" s="287">
        <v>3</v>
      </c>
      <c r="F77" s="709" t="s">
        <v>41</v>
      </c>
      <c r="G77" s="709"/>
      <c r="H77" s="709"/>
      <c r="I77" s="709"/>
      <c r="J77" s="287">
        <f>COUNTIF($F$10:$AI$61,3)</f>
        <v>0</v>
      </c>
      <c r="K77" s="332">
        <f>J77+'obrazec 7'!H13+'obrazec 8'!K41:L41</f>
        <v>0</v>
      </c>
      <c r="L77" s="287">
        <f>COUNTIF($F$10:$K$61,24)</f>
        <v>0</v>
      </c>
      <c r="M77" s="287">
        <f>COUNTIF($P$10:$V$61,24)</f>
        <v>0</v>
      </c>
      <c r="N77" s="287">
        <f>COUNTIF($AA$10:$AI$61,24)</f>
        <v>0</v>
      </c>
      <c r="P77" s="124">
        <v>24</v>
      </c>
      <c r="Q77" s="709" t="s">
        <v>62</v>
      </c>
      <c r="R77" s="709"/>
      <c r="S77" s="709"/>
      <c r="T77" s="709"/>
      <c r="U77" s="287">
        <f>COUNTIF($F$10:$AI$61,24)</f>
        <v>0</v>
      </c>
      <c r="V77" s="332">
        <f>U77+'obrazec 7'!L13+'obrazec 8'!X41</f>
        <v>0</v>
      </c>
      <c r="W77" s="287">
        <f>COUNTIF($F$10:$K$61,45)</f>
        <v>0</v>
      </c>
      <c r="X77" s="287">
        <f>COUNTIF($P$10:$V$61,45)</f>
        <v>0</v>
      </c>
      <c r="Y77" s="287">
        <f>COUNTIF($AA$10:$AI$61,45)</f>
        <v>0</v>
      </c>
      <c r="AA77" s="124">
        <v>45</v>
      </c>
      <c r="AB77" s="708" t="s">
        <v>82</v>
      </c>
      <c r="AC77" s="708"/>
      <c r="AD77" s="708"/>
      <c r="AE77" s="708"/>
      <c r="AF77" s="708"/>
      <c r="AG77" s="287">
        <f>COUNTIF($F$10:$AI$61,45)</f>
        <v>0</v>
      </c>
      <c r="AH77" s="332">
        <f>AG77+'obrazec 7'!P12+'obrazec 8'!AP41</f>
        <v>0</v>
      </c>
    </row>
    <row r="78" spans="1:34" ht="14.25">
      <c r="A78" s="287">
        <f>COUNTIF(F$10:K$61,4)</f>
        <v>0</v>
      </c>
      <c r="B78" s="287">
        <f>COUNTIF(P$10:V$61,4)</f>
        <v>0</v>
      </c>
      <c r="C78" s="287">
        <f>COUNTIF(AA$10:AI$61,4)</f>
        <v>0</v>
      </c>
      <c r="E78" s="287">
        <v>4</v>
      </c>
      <c r="F78" s="709" t="s">
        <v>42</v>
      </c>
      <c r="G78" s="709"/>
      <c r="H78" s="709"/>
      <c r="I78" s="709"/>
      <c r="J78" s="287">
        <f>COUNTIF($F$10:$AI$61,4)</f>
        <v>0</v>
      </c>
      <c r="K78" s="332">
        <f>J78+'obrazec 7'!H14+'obrazec 8'!K42:L42</f>
        <v>0</v>
      </c>
      <c r="L78" s="287">
        <f>COUNTIF($F$10:$K$61,25)</f>
        <v>0</v>
      </c>
      <c r="M78" s="287">
        <f>COUNTIF($P$10:$V$61,25)</f>
        <v>0</v>
      </c>
      <c r="N78" s="287">
        <f>COUNTIF($AA$10:$AI$61,25)</f>
        <v>0</v>
      </c>
      <c r="P78" s="124">
        <v>25</v>
      </c>
      <c r="Q78" s="709" t="s">
        <v>63</v>
      </c>
      <c r="R78" s="709"/>
      <c r="S78" s="709"/>
      <c r="T78" s="709"/>
      <c r="U78" s="287">
        <f>COUNTIF($F$10:$AI$61,25)</f>
        <v>0</v>
      </c>
      <c r="V78" s="332">
        <f>U78+'obrazec 7'!L14+'obrazec 8'!X42</f>
        <v>0</v>
      </c>
      <c r="W78" s="287">
        <f>COUNTIF($F$10:$K$61,46)</f>
        <v>0</v>
      </c>
      <c r="X78" s="287">
        <f>COUNTIF($P$10:$V$61,46)</f>
        <v>0</v>
      </c>
      <c r="Y78" s="287">
        <f>COUNTIF($AA$10:$AI$61,46)</f>
        <v>0</v>
      </c>
      <c r="AA78" s="124">
        <v>46</v>
      </c>
      <c r="AB78" s="708" t="s">
        <v>93</v>
      </c>
      <c r="AC78" s="708"/>
      <c r="AD78" s="708"/>
      <c r="AE78" s="708"/>
      <c r="AF78" s="708"/>
      <c r="AG78" s="287">
        <f>COUNTIF($F$10:$AI$61,46)</f>
        <v>0</v>
      </c>
      <c r="AH78" s="332">
        <f>AG78+'obrazec 7'!P13+'obrazec 8'!AP42</f>
        <v>0</v>
      </c>
    </row>
    <row r="79" spans="1:34" ht="14.25">
      <c r="A79" s="287">
        <f>COUNTIF(F$10:K$61,5)</f>
        <v>0</v>
      </c>
      <c r="B79" s="287">
        <f>COUNTIF(P$10:V$61,5)</f>
        <v>0</v>
      </c>
      <c r="C79" s="287">
        <f>COUNTIF(AA$10:AI$61,5)</f>
        <v>0</v>
      </c>
      <c r="E79" s="287">
        <v>5</v>
      </c>
      <c r="F79" s="709" t="s">
        <v>43</v>
      </c>
      <c r="G79" s="709"/>
      <c r="H79" s="709"/>
      <c r="I79" s="709"/>
      <c r="J79" s="287">
        <f>COUNTIF($F$10:$AI$61,5)</f>
        <v>0</v>
      </c>
      <c r="K79" s="332">
        <f>J79+'obrazec 7'!H15+'obrazec 8'!K43:L43</f>
        <v>0</v>
      </c>
      <c r="L79" s="287">
        <f>COUNTIF($F$10:$K$61,26)</f>
        <v>0</v>
      </c>
      <c r="M79" s="287">
        <f>COUNTIF($P$10:$V$61,26)</f>
        <v>0</v>
      </c>
      <c r="N79" s="287">
        <f>COUNTIF($AA$10:$AI$61,26)</f>
        <v>0</v>
      </c>
      <c r="P79" s="124">
        <v>26</v>
      </c>
      <c r="Q79" s="709" t="s">
        <v>64</v>
      </c>
      <c r="R79" s="709"/>
      <c r="S79" s="709"/>
      <c r="T79" s="709"/>
      <c r="U79" s="287">
        <f>COUNTIF($F$10:$AI$61,26)</f>
        <v>0</v>
      </c>
      <c r="V79" s="332">
        <f>U79+'obrazec 7'!L15+'obrazec 8'!X43</f>
        <v>0</v>
      </c>
      <c r="W79" s="287">
        <f>COUNTIF($F$10:$K$61,47)</f>
        <v>0</v>
      </c>
      <c r="X79" s="287">
        <f>COUNTIF($P$10:$V$61,47)</f>
        <v>0</v>
      </c>
      <c r="Y79" s="287">
        <f>COUNTIF($AA$10:$AI$61,47)</f>
        <v>0</v>
      </c>
      <c r="AA79" s="124">
        <v>47</v>
      </c>
      <c r="AB79" s="708" t="s">
        <v>160</v>
      </c>
      <c r="AC79" s="708"/>
      <c r="AD79" s="708"/>
      <c r="AE79" s="708"/>
      <c r="AF79" s="708"/>
      <c r="AG79" s="287">
        <f>COUNTIF($F$10:$AI$61,47)</f>
        <v>0</v>
      </c>
      <c r="AH79" s="332">
        <f>AG79+'obrazec 7'!P14+'obrazec 8'!AP43</f>
        <v>0</v>
      </c>
    </row>
    <row r="80" spans="1:34" ht="14.25">
      <c r="A80" s="287">
        <f>COUNTIF(F$10:K$61,6)</f>
        <v>0</v>
      </c>
      <c r="B80" s="287">
        <f>COUNTIF(P$10:V$61,6)</f>
        <v>0</v>
      </c>
      <c r="C80" s="287">
        <f>COUNTIF(AA$10:AI$61,6)</f>
        <v>0</v>
      </c>
      <c r="E80" s="287">
        <v>6</v>
      </c>
      <c r="F80" s="709" t="s">
        <v>44</v>
      </c>
      <c r="G80" s="709"/>
      <c r="H80" s="709"/>
      <c r="I80" s="709"/>
      <c r="J80" s="287">
        <f>COUNTIF($F$10:$AI$61,6)</f>
        <v>0</v>
      </c>
      <c r="K80" s="332">
        <f>J80+'obrazec 7'!H16+'obrazec 8'!K44:L44</f>
        <v>0</v>
      </c>
      <c r="L80" s="287">
        <f>COUNTIF($F$10:$K$61,27)</f>
        <v>0</v>
      </c>
      <c r="M80" s="287">
        <f>COUNTIF($P$10:$V$61,27)</f>
        <v>0</v>
      </c>
      <c r="N80" s="287">
        <f>COUNTIF($AA$10:$AI$61,27)</f>
        <v>0</v>
      </c>
      <c r="P80" s="124">
        <v>27</v>
      </c>
      <c r="Q80" s="709" t="s">
        <v>65</v>
      </c>
      <c r="R80" s="709"/>
      <c r="S80" s="709"/>
      <c r="T80" s="709"/>
      <c r="U80" s="287">
        <f>COUNTIF($F$10:$AI$61,27)</f>
        <v>0</v>
      </c>
      <c r="V80" s="332">
        <f>U80+'obrazec 7'!L16+'obrazec 8'!X44</f>
        <v>0</v>
      </c>
      <c r="W80" s="287">
        <f>COUNTIF($F$10:$K$61,48)</f>
        <v>0</v>
      </c>
      <c r="X80" s="287">
        <f>COUNTIF($P$10:$V$61,48)</f>
        <v>0</v>
      </c>
      <c r="Y80" s="287">
        <f>COUNTIF($AA$10:$AI$61,48)</f>
        <v>0</v>
      </c>
      <c r="AA80" s="124">
        <v>48</v>
      </c>
      <c r="AB80" s="708" t="s">
        <v>83</v>
      </c>
      <c r="AC80" s="708"/>
      <c r="AD80" s="708"/>
      <c r="AE80" s="708"/>
      <c r="AF80" s="708"/>
      <c r="AG80" s="287">
        <f>COUNTIF($F$10:$AI$61,48)</f>
        <v>0</v>
      </c>
      <c r="AH80" s="332">
        <f>AG80+'obrazec 7'!P15+'obrazec 8'!AP44</f>
        <v>0</v>
      </c>
    </row>
    <row r="81" spans="1:34" ht="14.25">
      <c r="A81" s="287">
        <f>COUNTIF(F$10:K$61,7)</f>
        <v>0</v>
      </c>
      <c r="B81" s="287">
        <f>COUNTIF(P$10:V$61,7)</f>
        <v>0</v>
      </c>
      <c r="C81" s="287">
        <f>COUNTIF(AA$10:AI$61,7)</f>
        <v>0</v>
      </c>
      <c r="E81" s="287">
        <v>7</v>
      </c>
      <c r="F81" s="709" t="s">
        <v>45</v>
      </c>
      <c r="G81" s="709"/>
      <c r="H81" s="709"/>
      <c r="I81" s="709"/>
      <c r="J81" s="287">
        <f>COUNTIF($F$10:$AI$61,7)</f>
        <v>0</v>
      </c>
      <c r="K81" s="332">
        <f>J81+'obrazec 7'!H17+'obrazec 8'!K45:L45</f>
        <v>0</v>
      </c>
      <c r="L81" s="287">
        <f>COUNTIF($F$10:$K$61,28)</f>
        <v>0</v>
      </c>
      <c r="M81" s="287">
        <f>COUNTIF($P$10:$V$61,28)</f>
        <v>0</v>
      </c>
      <c r="N81" s="287">
        <f>COUNTIF($AA$10:$AI$61,28)</f>
        <v>0</v>
      </c>
      <c r="P81" s="124">
        <v>28</v>
      </c>
      <c r="Q81" s="709" t="s">
        <v>66</v>
      </c>
      <c r="R81" s="709"/>
      <c r="S81" s="709"/>
      <c r="T81" s="709"/>
      <c r="U81" s="287">
        <f>COUNTIF($F$10:$AI$61,28)</f>
        <v>0</v>
      </c>
      <c r="V81" s="332">
        <f>U81+'obrazec 7'!L17+'obrazec 8'!X45</f>
        <v>0</v>
      </c>
      <c r="W81" s="287">
        <f>COUNTIF($F$10:$K$61,49)</f>
        <v>0</v>
      </c>
      <c r="X81" s="287">
        <f>COUNTIF($P$10:$V$61,49)</f>
        <v>0</v>
      </c>
      <c r="Y81" s="287">
        <f>COUNTIF($AA$10:$AI$61,49)</f>
        <v>0</v>
      </c>
      <c r="AA81" s="124">
        <v>49</v>
      </c>
      <c r="AB81" s="708" t="s">
        <v>84</v>
      </c>
      <c r="AC81" s="708"/>
      <c r="AD81" s="708"/>
      <c r="AE81" s="708"/>
      <c r="AF81" s="708"/>
      <c r="AG81" s="287">
        <f>COUNTIF($F$10:$AI$61,49)</f>
        <v>0</v>
      </c>
      <c r="AH81" s="332">
        <f>AG81+'obrazec 7'!P16+'obrazec 8'!AP45</f>
        <v>0</v>
      </c>
    </row>
    <row r="82" spans="1:34" ht="14.25">
      <c r="A82" s="287">
        <f>COUNTIF(F$10:K$61,8)</f>
        <v>0</v>
      </c>
      <c r="B82" s="287">
        <f>COUNTIF(P$10:V$61,8)</f>
        <v>0</v>
      </c>
      <c r="C82" s="287">
        <f>COUNTIF(AA$10:AI$61,8)</f>
        <v>0</v>
      </c>
      <c r="E82" s="287">
        <v>8</v>
      </c>
      <c r="F82" s="709" t="s">
        <v>46</v>
      </c>
      <c r="G82" s="709"/>
      <c r="H82" s="709"/>
      <c r="I82" s="709"/>
      <c r="J82" s="287">
        <f>COUNTIF($F$10:$AI$61,8)</f>
        <v>0</v>
      </c>
      <c r="K82" s="332">
        <f>J82+'obrazec 7'!H18+'obrazec 8'!K46:L46</f>
        <v>0</v>
      </c>
      <c r="L82" s="287">
        <f>COUNTIF($F$10:$K$61,29)</f>
        <v>0</v>
      </c>
      <c r="M82" s="287">
        <f>COUNTIF($P$10:$V$61,29)</f>
        <v>0</v>
      </c>
      <c r="N82" s="287">
        <f>COUNTIF($AA$10:$AI$61,29)</f>
        <v>0</v>
      </c>
      <c r="P82" s="124">
        <v>29</v>
      </c>
      <c r="Q82" s="709" t="s">
        <v>67</v>
      </c>
      <c r="R82" s="709"/>
      <c r="S82" s="709"/>
      <c r="T82" s="709"/>
      <c r="U82" s="287">
        <f>COUNTIF($F$10:$AI$61,29)</f>
        <v>0</v>
      </c>
      <c r="V82" s="332">
        <f>U82+'obrazec 7'!L18+'obrazec 8'!X46</f>
        <v>0</v>
      </c>
      <c r="W82" s="287">
        <f>COUNTIF($F$10:$K$61,50)</f>
        <v>0</v>
      </c>
      <c r="X82" s="287">
        <f>COUNTIF($P$10:$V$61,50)</f>
        <v>0</v>
      </c>
      <c r="Y82" s="287">
        <f>COUNTIF($AA$10:$AI$61,50)</f>
        <v>0</v>
      </c>
      <c r="AA82" s="124">
        <v>50</v>
      </c>
      <c r="AB82" s="708" t="s">
        <v>85</v>
      </c>
      <c r="AC82" s="708"/>
      <c r="AD82" s="708"/>
      <c r="AE82" s="708"/>
      <c r="AF82" s="708"/>
      <c r="AG82" s="287">
        <f>COUNTIF($F$10:$AI$61,50)</f>
        <v>0</v>
      </c>
      <c r="AH82" s="332">
        <f>AG82+'obrazec 7'!P17+'obrazec 8'!AP46</f>
        <v>0</v>
      </c>
    </row>
    <row r="83" spans="1:34" ht="14.25">
      <c r="A83" s="287">
        <f>COUNTIF(F$10:K$61,9)</f>
        <v>0</v>
      </c>
      <c r="B83" s="287">
        <f>COUNTIF(P$10:V$61,9)</f>
        <v>0</v>
      </c>
      <c r="C83" s="287">
        <f>COUNTIF(AA$10:AI$61,9)</f>
        <v>0</v>
      </c>
      <c r="E83" s="287">
        <v>9</v>
      </c>
      <c r="F83" s="709" t="s">
        <v>47</v>
      </c>
      <c r="G83" s="709"/>
      <c r="H83" s="709"/>
      <c r="I83" s="709"/>
      <c r="J83" s="287">
        <f>COUNTIF($F$10:$AI$61,9)</f>
        <v>0</v>
      </c>
      <c r="K83" s="332">
        <f>J83+'obrazec 7'!H19+'obrazec 8'!K47:L47</f>
        <v>0</v>
      </c>
      <c r="L83" s="287">
        <f>COUNTIF($F$10:$K$61,30)</f>
        <v>0</v>
      </c>
      <c r="M83" s="287">
        <f>COUNTIF($P$10:$V$61,30)</f>
        <v>0</v>
      </c>
      <c r="N83" s="287">
        <f>COUNTIF($AA$10:$AI$61,30)</f>
        <v>0</v>
      </c>
      <c r="P83" s="124">
        <v>30</v>
      </c>
      <c r="Q83" s="709" t="s">
        <v>68</v>
      </c>
      <c r="R83" s="709"/>
      <c r="S83" s="709"/>
      <c r="T83" s="709"/>
      <c r="U83" s="287">
        <f>COUNTIF($F$10:$AI$61,30)</f>
        <v>0</v>
      </c>
      <c r="V83" s="332">
        <f>U83+'obrazec 7'!L19+'obrazec 8'!X47</f>
        <v>0</v>
      </c>
      <c r="W83" s="287">
        <f>COUNTIF($F$10:$K$61,51)</f>
        <v>0</v>
      </c>
      <c r="X83" s="287">
        <f>COUNTIF($P$10:$V$61,51)</f>
        <v>0</v>
      </c>
      <c r="Y83" s="287">
        <f>COUNTIF($AA$10:$AI$61,51)</f>
        <v>0</v>
      </c>
      <c r="AA83" s="124">
        <v>51</v>
      </c>
      <c r="AB83" s="708" t="s">
        <v>86</v>
      </c>
      <c r="AC83" s="708"/>
      <c r="AD83" s="708"/>
      <c r="AE83" s="708"/>
      <c r="AF83" s="708"/>
      <c r="AG83" s="287">
        <f>COUNTIF($F$10:$AI$61,51)</f>
        <v>0</v>
      </c>
      <c r="AH83" s="332">
        <f>AG83+'obrazec 7'!P18+'obrazec 8'!AP47</f>
        <v>0</v>
      </c>
    </row>
    <row r="84" spans="1:34" ht="14.25">
      <c r="A84" s="287">
        <f>COUNTIF(F$10:K$61,10)</f>
        <v>0</v>
      </c>
      <c r="B84" s="287">
        <f>COUNTIF(P$10:V$61,10)</f>
        <v>0</v>
      </c>
      <c r="C84" s="287">
        <f>COUNTIF(AA$10:AI$61,10)</f>
        <v>0</v>
      </c>
      <c r="E84" s="287">
        <v>10</v>
      </c>
      <c r="F84" s="709" t="s">
        <v>48</v>
      </c>
      <c r="G84" s="709"/>
      <c r="H84" s="709"/>
      <c r="I84" s="709"/>
      <c r="J84" s="287">
        <f>COUNTIF($F$10:$AI$61,10)</f>
        <v>0</v>
      </c>
      <c r="K84" s="332">
        <f>J84+'obrazec 7'!H20+'obrazec 8'!K48:L48</f>
        <v>0</v>
      </c>
      <c r="L84" s="287">
        <f>COUNTIF($F$10:$K$61,31)</f>
        <v>0</v>
      </c>
      <c r="M84" s="287">
        <f>COUNTIF($P$10:$V$61,31)</f>
        <v>0</v>
      </c>
      <c r="N84" s="287">
        <f>COUNTIF($AA$10:$AI$61,31)</f>
        <v>0</v>
      </c>
      <c r="P84" s="124">
        <v>31</v>
      </c>
      <c r="Q84" s="709" t="s">
        <v>69</v>
      </c>
      <c r="R84" s="709"/>
      <c r="S84" s="709"/>
      <c r="T84" s="709"/>
      <c r="U84" s="287">
        <f>COUNTIF($F$10:$AI$61,31)</f>
        <v>0</v>
      </c>
      <c r="V84" s="332">
        <f>U84+'obrazec 7'!L20+'obrazec 8'!X48</f>
        <v>0</v>
      </c>
      <c r="W84" s="287">
        <f>COUNTIF($F$10:$K$61,52)</f>
        <v>0</v>
      </c>
      <c r="X84" s="287">
        <f>COUNTIF($P$10:$V$61,52)</f>
        <v>0</v>
      </c>
      <c r="Y84" s="287">
        <f>COUNTIF($AA$10:$AI$61,52)</f>
        <v>0</v>
      </c>
      <c r="AA84" s="124">
        <v>52</v>
      </c>
      <c r="AB84" s="708" t="s">
        <v>87</v>
      </c>
      <c r="AC84" s="708"/>
      <c r="AD84" s="708"/>
      <c r="AE84" s="708"/>
      <c r="AF84" s="708"/>
      <c r="AG84" s="287">
        <f>COUNTIF($F$10:$AI$61,52)</f>
        <v>0</v>
      </c>
      <c r="AH84" s="332">
        <f>AG84+'obrazec 7'!P19+'obrazec 8'!AP48</f>
        <v>0</v>
      </c>
    </row>
    <row r="85" spans="1:34" ht="14.25">
      <c r="A85" s="287">
        <f>COUNTIF(F$10:K$61,11)</f>
        <v>0</v>
      </c>
      <c r="B85" s="287">
        <f>COUNTIF(P$10:V$61,11)</f>
        <v>0</v>
      </c>
      <c r="C85" s="287">
        <f>COUNTIF(AA$10:AI$61,11)</f>
        <v>0</v>
      </c>
      <c r="E85" s="287">
        <v>11</v>
      </c>
      <c r="F85" s="709" t="s">
        <v>49</v>
      </c>
      <c r="G85" s="709"/>
      <c r="H85" s="709"/>
      <c r="I85" s="709"/>
      <c r="J85" s="287">
        <f>COUNTIF($F$10:$AI$61,11)</f>
        <v>0</v>
      </c>
      <c r="K85" s="332">
        <f>J85+'obrazec 7'!H21+'obrazec 8'!K49:L49</f>
        <v>0</v>
      </c>
      <c r="L85" s="287">
        <f>COUNTIF($F$10:$K$61,32)</f>
        <v>0</v>
      </c>
      <c r="M85" s="287">
        <f>COUNTIF($P$10:$V$61,32)</f>
        <v>0</v>
      </c>
      <c r="N85" s="287">
        <f>COUNTIF($AA$10:$AI$61,32)</f>
        <v>0</v>
      </c>
      <c r="P85" s="124">
        <v>32</v>
      </c>
      <c r="Q85" s="709" t="s">
        <v>70</v>
      </c>
      <c r="R85" s="709"/>
      <c r="S85" s="709"/>
      <c r="T85" s="709"/>
      <c r="U85" s="287">
        <f>COUNTIF($F$10:$AI$61,32)</f>
        <v>0</v>
      </c>
      <c r="V85" s="332">
        <f>U85+'obrazec 7'!L21+'obrazec 8'!X49</f>
        <v>0</v>
      </c>
      <c r="W85" s="287">
        <f>COUNTIF($F$10:$K$61,53)</f>
        <v>0</v>
      </c>
      <c r="X85" s="287">
        <f>COUNTIF($P$10:$V$61,53)</f>
        <v>0</v>
      </c>
      <c r="Y85" s="287">
        <f>COUNTIF($AA$10:$AI$61,53)</f>
        <v>0</v>
      </c>
      <c r="AA85" s="124">
        <v>53</v>
      </c>
      <c r="AB85" s="708" t="s">
        <v>88</v>
      </c>
      <c r="AC85" s="708"/>
      <c r="AD85" s="708"/>
      <c r="AE85" s="708"/>
      <c r="AF85" s="708"/>
      <c r="AG85" s="287">
        <f>COUNTIF($F$10:$AI$61,53)</f>
        <v>0</v>
      </c>
      <c r="AH85" s="332">
        <f>AG85+'obrazec 7'!P20+'obrazec 8'!AP49</f>
        <v>0</v>
      </c>
    </row>
    <row r="86" spans="1:34" ht="14.25">
      <c r="A86" s="287">
        <f>COUNTIF(F$10:K$61,12)</f>
        <v>0</v>
      </c>
      <c r="B86" s="287">
        <f>COUNTIF(P$10:V$61,12)</f>
        <v>0</v>
      </c>
      <c r="C86" s="287">
        <f>COUNTIF(AA$10:AI$61,12)</f>
        <v>0</v>
      </c>
      <c r="E86" s="287">
        <v>12</v>
      </c>
      <c r="F86" s="709" t="s">
        <v>50</v>
      </c>
      <c r="G86" s="709"/>
      <c r="H86" s="709"/>
      <c r="I86" s="709"/>
      <c r="J86" s="287">
        <f>COUNTIF($F$10:$AI$61,12)</f>
        <v>0</v>
      </c>
      <c r="K86" s="332">
        <f>J86+'obrazec 7'!H22+'obrazec 8'!K50:L50</f>
        <v>0</v>
      </c>
      <c r="L86" s="287">
        <f>COUNTIF($F$10:$K$61,33)</f>
        <v>0</v>
      </c>
      <c r="M86" s="287">
        <f>COUNTIF($P$10:$V$61,33)</f>
        <v>0</v>
      </c>
      <c r="N86" s="287">
        <f>COUNTIF($AA$10:$AI$61,33)</f>
        <v>0</v>
      </c>
      <c r="P86" s="124">
        <v>33</v>
      </c>
      <c r="Q86" s="709" t="s">
        <v>71</v>
      </c>
      <c r="R86" s="709"/>
      <c r="S86" s="709"/>
      <c r="T86" s="709"/>
      <c r="U86" s="287">
        <f>COUNTIF($F$10:$AI$61,33)</f>
        <v>0</v>
      </c>
      <c r="V86" s="332">
        <f>U86+'obrazec 7'!L22+'obrazec 8'!X50</f>
        <v>0</v>
      </c>
      <c r="W86" s="287">
        <f>COUNTIF($F$10:$K$61,54)</f>
        <v>0</v>
      </c>
      <c r="X86" s="287">
        <f>COUNTIF($P$10:$V$61,54)</f>
        <v>0</v>
      </c>
      <c r="Y86" s="287">
        <f>COUNTIF($AA$10:$AI$61,54)</f>
        <v>0</v>
      </c>
      <c r="AA86" s="124">
        <v>54</v>
      </c>
      <c r="AB86" s="708" t="s">
        <v>89</v>
      </c>
      <c r="AC86" s="708"/>
      <c r="AD86" s="708"/>
      <c r="AE86" s="708"/>
      <c r="AF86" s="708"/>
      <c r="AG86" s="287">
        <f>COUNTIF($F$10:$AI$61,54)</f>
        <v>0</v>
      </c>
      <c r="AH86" s="332">
        <f>AG86+'obrazec 7'!P21+'obrazec 8'!AP50</f>
        <v>0</v>
      </c>
    </row>
    <row r="87" spans="1:34" ht="14.25">
      <c r="A87" s="287">
        <f>COUNTIF(F$10:K$61,13)</f>
        <v>0</v>
      </c>
      <c r="B87" s="287">
        <f>COUNTIF(P$10:V$61,13)</f>
        <v>0</v>
      </c>
      <c r="C87" s="287">
        <f>COUNTIF(AA$10:AI$61,13)</f>
        <v>0</v>
      </c>
      <c r="E87" s="287">
        <v>13</v>
      </c>
      <c r="F87" s="709" t="s">
        <v>51</v>
      </c>
      <c r="G87" s="709"/>
      <c r="H87" s="709"/>
      <c r="I87" s="709"/>
      <c r="J87" s="287">
        <f>COUNTIF($F$10:$AI$61,13)</f>
        <v>0</v>
      </c>
      <c r="K87" s="332">
        <f>J87+'obrazec 7'!H23+'obrazec 8'!K51:L51</f>
        <v>0</v>
      </c>
      <c r="L87" s="287">
        <f>COUNTIF($F$10:$K$61,34)</f>
        <v>0</v>
      </c>
      <c r="M87" s="287">
        <f>COUNTIF($P$10:$V$61,34)</f>
        <v>0</v>
      </c>
      <c r="N87" s="287">
        <f>COUNTIF($AA$10:$AI$61,34)</f>
        <v>0</v>
      </c>
      <c r="P87" s="124">
        <v>34</v>
      </c>
      <c r="Q87" s="709" t="s">
        <v>72</v>
      </c>
      <c r="R87" s="709"/>
      <c r="S87" s="709"/>
      <c r="T87" s="709"/>
      <c r="U87" s="287">
        <f>COUNTIF($F$10:$AI$61,34)</f>
        <v>0</v>
      </c>
      <c r="V87" s="332">
        <f>U87+'obrazec 7'!L23+'obrazec 8'!X51</f>
        <v>0</v>
      </c>
      <c r="W87" s="287">
        <f>COUNTIF($F$10:$K$61,55)</f>
        <v>0</v>
      </c>
      <c r="X87" s="287">
        <f>COUNTIF($P$10:$V$61,55)</f>
        <v>0</v>
      </c>
      <c r="Y87" s="287">
        <f>COUNTIF($AA$10:$AI$61,55)</f>
        <v>0</v>
      </c>
      <c r="AA87" s="124">
        <v>55</v>
      </c>
      <c r="AB87" s="708" t="s">
        <v>90</v>
      </c>
      <c r="AC87" s="708"/>
      <c r="AD87" s="708"/>
      <c r="AE87" s="708"/>
      <c r="AF87" s="708"/>
      <c r="AG87" s="287">
        <f>COUNTIF($F$10:$AI$61,55)</f>
        <v>0</v>
      </c>
      <c r="AH87" s="332">
        <f>AG87+'obrazec 7'!P22+'obrazec 8'!AP51</f>
        <v>0</v>
      </c>
    </row>
    <row r="88" spans="1:34" ht="14.25">
      <c r="A88" s="287">
        <f>COUNTIF(F$10:K$61,14)</f>
        <v>0</v>
      </c>
      <c r="B88" s="287">
        <f>COUNTIF(P$10:V$61,14)</f>
        <v>0</v>
      </c>
      <c r="C88" s="287">
        <f>COUNTIF(AA$10:AI$61,14)</f>
        <v>0</v>
      </c>
      <c r="E88" s="287">
        <v>14</v>
      </c>
      <c r="F88" s="709" t="s">
        <v>52</v>
      </c>
      <c r="G88" s="709"/>
      <c r="H88" s="709"/>
      <c r="I88" s="709"/>
      <c r="J88" s="287">
        <f>COUNTIF($F$10:$AI$61,14)</f>
        <v>0</v>
      </c>
      <c r="K88" s="332">
        <f>J88+'obrazec 7'!H24+'obrazec 8'!K52:L52</f>
        <v>0</v>
      </c>
      <c r="L88" s="287">
        <f>COUNTIF($F$10:$K$61,35)</f>
        <v>0</v>
      </c>
      <c r="M88" s="287">
        <f>COUNTIF($P$10:$V$61,35)</f>
        <v>0</v>
      </c>
      <c r="N88" s="287">
        <f>COUNTIF($AA$10:$AI$61,35)</f>
        <v>0</v>
      </c>
      <c r="P88" s="124">
        <v>35</v>
      </c>
      <c r="Q88" s="709" t="s">
        <v>73</v>
      </c>
      <c r="R88" s="709"/>
      <c r="S88" s="709"/>
      <c r="T88" s="709"/>
      <c r="U88" s="287">
        <f>COUNTIF($F$10:$AI$61,35)</f>
        <v>0</v>
      </c>
      <c r="V88" s="332">
        <f>U88+'obrazec 7'!L24+'obrazec 8'!X52</f>
        <v>0</v>
      </c>
      <c r="W88" s="287">
        <f>COUNTIF($F$10:$K$61,56)</f>
        <v>0</v>
      </c>
      <c r="X88" s="287">
        <f>COUNTIF($P$10:$V$61,56)</f>
        <v>0</v>
      </c>
      <c r="Y88" s="287">
        <f>COUNTIF($AA$10:$AI$61,56)</f>
        <v>0</v>
      </c>
      <c r="AA88" s="124">
        <v>56</v>
      </c>
      <c r="AB88" s="708" t="s">
        <v>91</v>
      </c>
      <c r="AC88" s="708"/>
      <c r="AD88" s="708"/>
      <c r="AE88" s="708"/>
      <c r="AF88" s="708"/>
      <c r="AG88" s="287">
        <f>COUNTIF($F$10:$AI$61,56)</f>
        <v>0</v>
      </c>
      <c r="AH88" s="332">
        <f>AG88+'obrazec 7'!P23+'obrazec 8'!AP52</f>
        <v>0</v>
      </c>
    </row>
    <row r="89" spans="1:34" ht="14.25">
      <c r="A89" s="287">
        <f>COUNTIF(F$10:K$61,15)</f>
        <v>0</v>
      </c>
      <c r="B89" s="287">
        <f>COUNTIF(P$10:V$61,15)</f>
        <v>0</v>
      </c>
      <c r="C89" s="287">
        <f>COUNTIF(AA$10:AI$61,15)</f>
        <v>0</v>
      </c>
      <c r="E89" s="287">
        <v>15</v>
      </c>
      <c r="F89" s="709" t="s">
        <v>53</v>
      </c>
      <c r="G89" s="709"/>
      <c r="H89" s="709"/>
      <c r="I89" s="709"/>
      <c r="J89" s="287">
        <f>COUNTIF($F$10:$AI$61,15)</f>
        <v>0</v>
      </c>
      <c r="K89" s="332">
        <f>J89+'obrazec 7'!H25+'obrazec 8'!K53:L53</f>
        <v>0</v>
      </c>
      <c r="L89" s="287">
        <f>COUNTIF($F$10:$K$61,36)</f>
        <v>0</v>
      </c>
      <c r="M89" s="287">
        <f>COUNTIF($P$10:$V$61,36)</f>
        <v>0</v>
      </c>
      <c r="N89" s="287">
        <f>COUNTIF($AA$10:$AI$61,36)</f>
        <v>0</v>
      </c>
      <c r="P89" s="124">
        <v>36</v>
      </c>
      <c r="Q89" s="709" t="s">
        <v>74</v>
      </c>
      <c r="R89" s="709"/>
      <c r="S89" s="709"/>
      <c r="T89" s="709"/>
      <c r="U89" s="287">
        <f>COUNTIF($F$10:$AI$61,36)</f>
        <v>0</v>
      </c>
      <c r="V89" s="332">
        <f>U89+'obrazec 7'!L25+'obrazec 8'!X53</f>
        <v>0</v>
      </c>
      <c r="W89" s="287">
        <f>COUNTIF($F$10:$K$61,57)</f>
        <v>0</v>
      </c>
      <c r="X89" s="287">
        <f>COUNTIF($P$10:$V$61,57)</f>
        <v>0</v>
      </c>
      <c r="Y89" s="287">
        <f>COUNTIF($AA$10:$AI$61,57)</f>
        <v>0</v>
      </c>
      <c r="AA89" s="124">
        <v>57</v>
      </c>
      <c r="AB89" s="708" t="s">
        <v>92</v>
      </c>
      <c r="AC89" s="708"/>
      <c r="AD89" s="708"/>
      <c r="AE89" s="708"/>
      <c r="AF89" s="708"/>
      <c r="AG89" s="287">
        <f>COUNTIF($F$10:$AI$61,57)</f>
        <v>0</v>
      </c>
      <c r="AH89" s="332">
        <f>AG89+'obrazec 7'!P24+'obrazec 8'!AP53</f>
        <v>0</v>
      </c>
    </row>
    <row r="90" spans="1:34" ht="14.25">
      <c r="A90" s="287">
        <f>COUNTIF(F$10:K$61,16)</f>
        <v>0</v>
      </c>
      <c r="B90" s="287">
        <f>COUNTIF(P$10:V$61,16)</f>
        <v>0</v>
      </c>
      <c r="C90" s="287">
        <f>COUNTIF(AA$10:AI$61,16)</f>
        <v>0</v>
      </c>
      <c r="E90" s="287">
        <v>16</v>
      </c>
      <c r="F90" s="709" t="s">
        <v>54</v>
      </c>
      <c r="G90" s="709"/>
      <c r="H90" s="709"/>
      <c r="I90" s="709"/>
      <c r="J90" s="287">
        <f>COUNTIF($F$10:$AI$61,16)</f>
        <v>0</v>
      </c>
      <c r="K90" s="332">
        <f>J90+'obrazec 7'!H26+'obrazec 8'!K54:L54</f>
        <v>0</v>
      </c>
      <c r="L90" s="287">
        <f>COUNTIF($F$10:$K$61,37)</f>
        <v>0</v>
      </c>
      <c r="M90" s="287">
        <f>COUNTIF($P$10:$V$61,37)</f>
        <v>0</v>
      </c>
      <c r="N90" s="287">
        <f>COUNTIF($AA$10:$AI$61,37)</f>
        <v>0</v>
      </c>
      <c r="P90" s="124">
        <v>37</v>
      </c>
      <c r="Q90" s="709" t="s">
        <v>75</v>
      </c>
      <c r="R90" s="709"/>
      <c r="S90" s="709"/>
      <c r="T90" s="709"/>
      <c r="U90" s="287">
        <f>COUNTIF($F$10:$AI$61,37)</f>
        <v>0</v>
      </c>
      <c r="V90" s="332">
        <f>U90+'obrazec 7'!L26+'obrazec 8'!X54</f>
        <v>0</v>
      </c>
      <c r="W90" s="287">
        <f>COUNTIF($F$10:$K$61,58)</f>
        <v>0</v>
      </c>
      <c r="X90" s="287">
        <f>COUNTIF($P$10:$V$61,58)</f>
        <v>0</v>
      </c>
      <c r="Y90" s="287">
        <f>COUNTIF($AA$10:$AI$61,58)</f>
        <v>0</v>
      </c>
      <c r="AA90" s="287">
        <v>58</v>
      </c>
      <c r="AB90" s="716"/>
      <c r="AC90" s="716"/>
      <c r="AD90" s="716"/>
      <c r="AE90" s="716"/>
      <c r="AF90" s="716"/>
      <c r="AG90" s="287">
        <f>COUNTIF($F$10:$AI$61,58)</f>
        <v>0</v>
      </c>
      <c r="AH90" s="332">
        <f>AG90+'obrazec 7'!P25+'obrazec 8'!AP54</f>
        <v>0</v>
      </c>
    </row>
    <row r="91" spans="1:34" ht="14.25">
      <c r="A91" s="287">
        <f>COUNTIF(F$10:K$61,17)</f>
        <v>0</v>
      </c>
      <c r="B91" s="287">
        <f>COUNTIF(P$10:V$61,17)</f>
        <v>0</v>
      </c>
      <c r="C91" s="287">
        <f>COUNTIF(AA$10:AI$61,17)</f>
        <v>0</v>
      </c>
      <c r="E91" s="287">
        <v>17</v>
      </c>
      <c r="F91" s="709" t="s">
        <v>55</v>
      </c>
      <c r="G91" s="709"/>
      <c r="H91" s="709"/>
      <c r="I91" s="709"/>
      <c r="J91" s="287">
        <f>COUNTIF($F$10:$AI$61,17)</f>
        <v>0</v>
      </c>
      <c r="K91" s="332">
        <f>J91+'obrazec 7'!H27+'obrazec 8'!K55:L55</f>
        <v>0</v>
      </c>
      <c r="L91" s="287">
        <f>COUNTIF($F$10:$K$61,38)</f>
        <v>0</v>
      </c>
      <c r="M91" s="287">
        <f>COUNTIF($P$10:$V$61,38)</f>
        <v>0</v>
      </c>
      <c r="N91" s="287">
        <f>COUNTIF($AA$10:$AI$61,38)</f>
        <v>0</v>
      </c>
      <c r="P91" s="124">
        <v>38</v>
      </c>
      <c r="Q91" s="709" t="s">
        <v>76</v>
      </c>
      <c r="R91" s="709"/>
      <c r="S91" s="709"/>
      <c r="T91" s="709"/>
      <c r="U91" s="287">
        <f>COUNTIF($F$10:$AI$61,38)</f>
        <v>0</v>
      </c>
      <c r="V91" s="332">
        <f>U91+'obrazec 7'!L27+'obrazec 8'!X55</f>
        <v>0</v>
      </c>
      <c r="W91" s="287">
        <f>COUNTIF($F$10:$K$61,59)</f>
        <v>0</v>
      </c>
      <c r="X91" s="287">
        <f>COUNTIF($P$10:$V$61,59)</f>
        <v>0</v>
      </c>
      <c r="Y91" s="287">
        <f>COUNTIF($AA$10:$AI$61,59)</f>
        <v>0</v>
      </c>
      <c r="AA91" s="287">
        <v>59</v>
      </c>
      <c r="AB91" s="716"/>
      <c r="AC91" s="716"/>
      <c r="AD91" s="716"/>
      <c r="AE91" s="716"/>
      <c r="AF91" s="716"/>
      <c r="AG91" s="287">
        <f>COUNTIF($F$10:$AI$61,59)</f>
        <v>0</v>
      </c>
      <c r="AH91" s="332">
        <f>AG91+'obrazec 7'!P26+'obrazec 8'!AP55</f>
        <v>0</v>
      </c>
    </row>
    <row r="92" spans="1:34" ht="14.25">
      <c r="A92" s="287">
        <f>COUNTIF(F$10:K$61,18)</f>
        <v>0</v>
      </c>
      <c r="B92" s="287">
        <f>COUNTIF(P$10:V$61,18)</f>
        <v>0</v>
      </c>
      <c r="C92" s="287">
        <f>COUNTIF(AA$10:AI$61,18)</f>
        <v>0</v>
      </c>
      <c r="E92" s="287">
        <v>18</v>
      </c>
      <c r="F92" s="709" t="s">
        <v>56</v>
      </c>
      <c r="G92" s="709"/>
      <c r="H92" s="709"/>
      <c r="I92" s="709"/>
      <c r="J92" s="287">
        <f>COUNTIF($F$10:$AI$61,18)</f>
        <v>0</v>
      </c>
      <c r="K92" s="332">
        <f>J92+'obrazec 7'!H28+'obrazec 8'!K56:L56</f>
        <v>0</v>
      </c>
      <c r="L92" s="287">
        <f>COUNTIF($F$10:$K$61,39)</f>
        <v>0</v>
      </c>
      <c r="M92" s="287">
        <f>COUNTIF($P$10:$V$61,39)</f>
        <v>0</v>
      </c>
      <c r="N92" s="287">
        <f>COUNTIF($AA$10:$AI$61,39)</f>
        <v>0</v>
      </c>
      <c r="P92" s="124">
        <v>39</v>
      </c>
      <c r="Q92" s="709" t="s">
        <v>77</v>
      </c>
      <c r="R92" s="709"/>
      <c r="S92" s="709"/>
      <c r="T92" s="709"/>
      <c r="U92" s="287">
        <f>COUNTIF($F$10:$AI$61,39)</f>
        <v>0</v>
      </c>
      <c r="V92" s="332">
        <f>U92+'obrazec 7'!L28+'obrazec 8'!X56</f>
        <v>0</v>
      </c>
      <c r="W92" s="287">
        <f>COUNTIF($F$10:$K$61,60)</f>
        <v>0</v>
      </c>
      <c r="X92" s="287">
        <f>COUNTIF($P$10:$V$61,60)</f>
        <v>0</v>
      </c>
      <c r="Y92" s="287">
        <f>COUNTIF($AA$10:$AI$61,60)</f>
        <v>0</v>
      </c>
      <c r="AA92" s="287">
        <v>60</v>
      </c>
      <c r="AB92" s="716"/>
      <c r="AC92" s="716"/>
      <c r="AD92" s="716"/>
      <c r="AE92" s="716"/>
      <c r="AF92" s="716"/>
      <c r="AG92" s="287">
        <f>COUNTIF($F$10:$AI$61,60)</f>
        <v>0</v>
      </c>
      <c r="AH92" s="332">
        <f>AG92+'obrazec 7'!P27+'obrazec 8'!AP56</f>
        <v>0</v>
      </c>
    </row>
    <row r="93" spans="1:34" ht="14.25">
      <c r="A93" s="287">
        <f>COUNTIF(F$10:K$61,19)</f>
        <v>0</v>
      </c>
      <c r="B93" s="287">
        <f>COUNTIF(P$10:V$61,19)</f>
        <v>0</v>
      </c>
      <c r="C93" s="287">
        <f>COUNTIF(AA$10:AI$61,19)</f>
        <v>0</v>
      </c>
      <c r="E93" s="287">
        <v>19</v>
      </c>
      <c r="F93" s="709" t="s">
        <v>57</v>
      </c>
      <c r="G93" s="709"/>
      <c r="H93" s="709"/>
      <c r="I93" s="709"/>
      <c r="J93" s="287">
        <f>COUNTIF($F$10:$AI$61,19)</f>
        <v>0</v>
      </c>
      <c r="K93" s="332">
        <f>J93+'obrazec 7'!H29+'obrazec 8'!K57:L57</f>
        <v>0</v>
      </c>
      <c r="L93" s="287">
        <f>COUNTIF($F$10:$K$61,40)</f>
        <v>0</v>
      </c>
      <c r="M93" s="287">
        <f>COUNTIF($P$10:$V$61,40)</f>
        <v>0</v>
      </c>
      <c r="N93" s="287">
        <f>COUNTIF($AA$10:$AI$61,40)</f>
        <v>0</v>
      </c>
      <c r="P93" s="124">
        <v>40</v>
      </c>
      <c r="Q93" s="709" t="s">
        <v>78</v>
      </c>
      <c r="R93" s="709"/>
      <c r="S93" s="709"/>
      <c r="T93" s="709"/>
      <c r="U93" s="287">
        <f>COUNTIF($F$10:$AI$61,40)</f>
        <v>0</v>
      </c>
      <c r="V93" s="332">
        <f>U93+'obrazec 7'!L29+'obrazec 8'!X57</f>
        <v>0</v>
      </c>
      <c r="W93" s="287">
        <f>COUNTIF($F$10:$K$61,61)</f>
        <v>0</v>
      </c>
      <c r="X93" s="287">
        <f>COUNTIF($P$10:$V$61,61)</f>
        <v>0</v>
      </c>
      <c r="Y93" s="287">
        <f>COUNTIF($AA$10:$AI$61,61)</f>
        <v>0</v>
      </c>
      <c r="AA93" s="287">
        <v>61</v>
      </c>
      <c r="AB93" s="714" t="s">
        <v>290</v>
      </c>
      <c r="AC93" s="714"/>
      <c r="AD93" s="714"/>
      <c r="AE93" s="714"/>
      <c r="AF93" s="714"/>
      <c r="AG93" s="287">
        <f>IF(COUNTIF($F$10:$AI$61,61)=0,"",COUNTIF($F$10:$AI$61,61))</f>
      </c>
      <c r="AH93" s="332" t="e">
        <f>AG93+'obrazec 7'!P28+'obrazec 8'!AP57</f>
        <v>#VALUE!</v>
      </c>
    </row>
    <row r="94" spans="1:34" ht="14.25">
      <c r="A94" s="287">
        <f>COUNTIF(F$10:K$61,20)</f>
        <v>0</v>
      </c>
      <c r="B94" s="287">
        <f>COUNTIF(P$10:V$61,20)</f>
        <v>0</v>
      </c>
      <c r="C94" s="287">
        <f>COUNTIF(AA$10:AI$61,20)</f>
        <v>0</v>
      </c>
      <c r="E94" s="287">
        <v>20</v>
      </c>
      <c r="F94" s="709" t="s">
        <v>58</v>
      </c>
      <c r="G94" s="709"/>
      <c r="H94" s="709"/>
      <c r="I94" s="709"/>
      <c r="J94" s="287">
        <f>COUNTIF($F$10:$AI$61,20)</f>
        <v>0</v>
      </c>
      <c r="K94" s="332">
        <f>J94+'obrazec 7'!H30+'obrazec 8'!K58:L58</f>
        <v>0</v>
      </c>
      <c r="L94" s="287">
        <f>COUNTIF($F$10:$K$61,41)</f>
        <v>0</v>
      </c>
      <c r="M94" s="287">
        <f>COUNTIF($P$10:$V$61,41)</f>
        <v>0</v>
      </c>
      <c r="N94" s="287">
        <f>COUNTIF($AA$10:$AI$61,41)</f>
        <v>0</v>
      </c>
      <c r="P94" s="124">
        <v>41</v>
      </c>
      <c r="Q94" s="709" t="s">
        <v>79</v>
      </c>
      <c r="R94" s="709"/>
      <c r="S94" s="709"/>
      <c r="T94" s="709"/>
      <c r="U94" s="287">
        <f>COUNTIF($F$10:$AI$61,41)</f>
        <v>0</v>
      </c>
      <c r="V94" s="332">
        <f>U94+'obrazec 7'!L30+'obrazec 8'!X58</f>
        <v>0</v>
      </c>
      <c r="W94" s="287">
        <f>COUNTIF($F$10:$K$61,62)</f>
        <v>0</v>
      </c>
      <c r="X94" s="287">
        <f>COUNTIF($P$10:$V$61,62)</f>
        <v>0</v>
      </c>
      <c r="Y94" s="287">
        <f>COUNTIF($AA$10:$AI$61,62)</f>
        <v>0</v>
      </c>
      <c r="AA94" s="287">
        <v>62</v>
      </c>
      <c r="AB94" s="714" t="s">
        <v>289</v>
      </c>
      <c r="AC94" s="714"/>
      <c r="AD94" s="714"/>
      <c r="AE94" s="714"/>
      <c r="AF94" s="714"/>
      <c r="AG94" s="287">
        <f>IF(COUNTIF($F$10:$AI$61,62)=0,"",COUNTIF($F$10:$AI$61,62))</f>
      </c>
      <c r="AH94" s="332" t="e">
        <f>AG94+'obrazec 7'!P29+'obrazec 8'!AP58</f>
        <v>#VALUE!</v>
      </c>
    </row>
    <row r="95" spans="1:34" ht="14.25">
      <c r="A95" s="287">
        <f>COUNTIF(F$10:K$61,21)</f>
        <v>0</v>
      </c>
      <c r="B95" s="287">
        <f>COUNTIF(P$10:V$61,21)</f>
        <v>0</v>
      </c>
      <c r="C95" s="287">
        <f>COUNTIF(AA$10:AI$61,21)</f>
        <v>0</v>
      </c>
      <c r="E95" s="287">
        <v>21</v>
      </c>
      <c r="F95" s="709" t="s">
        <v>59</v>
      </c>
      <c r="G95" s="709"/>
      <c r="H95" s="709"/>
      <c r="I95" s="709"/>
      <c r="J95" s="287">
        <f>COUNTIF($F$10:$AI$61,21)</f>
        <v>0</v>
      </c>
      <c r="K95" s="332">
        <f>J95+'obrazec 7'!H31+'obrazec 8'!K59:L59</f>
        <v>0</v>
      </c>
      <c r="L95" s="287">
        <f>COUNTIF($F$10:$K$61,42)</f>
        <v>0</v>
      </c>
      <c r="M95" s="287">
        <f>COUNTIF($P$10:$V$61,42)</f>
        <v>0</v>
      </c>
      <c r="N95" s="287">
        <f>COUNTIF($AA$10:$AI$61,42)</f>
        <v>0</v>
      </c>
      <c r="P95" s="124">
        <v>42</v>
      </c>
      <c r="Q95" s="709" t="s">
        <v>94</v>
      </c>
      <c r="R95" s="709"/>
      <c r="S95" s="709"/>
      <c r="T95" s="709"/>
      <c r="U95" s="287">
        <f>COUNTIF($F$10:$AI$61,42)</f>
        <v>0</v>
      </c>
      <c r="V95" s="332">
        <f>U95+'obrazec 7'!L31+'obrazec 8'!X59</f>
        <v>0</v>
      </c>
      <c r="W95" s="287">
        <f>COUNTIF($F$10:$K$61,63)</f>
        <v>0</v>
      </c>
      <c r="X95" s="287">
        <f>COUNTIF($P$10:$V$61,63)</f>
        <v>0</v>
      </c>
      <c r="Y95" s="287">
        <f>COUNTIF($AA$10:$AI$61,63)</f>
        <v>0</v>
      </c>
      <c r="AA95" s="287">
        <v>63</v>
      </c>
      <c r="AB95" s="714" t="s">
        <v>291</v>
      </c>
      <c r="AC95" s="714"/>
      <c r="AD95" s="714"/>
      <c r="AE95" s="714"/>
      <c r="AF95" s="714"/>
      <c r="AG95" s="287">
        <f>IF(COUNTIF($F$10:$AI$61,63)=0,"",COUNTIF($F$10:$AI$61,63))</f>
      </c>
      <c r="AH95" s="332" t="e">
        <f>AG95+'obrazec 7'!P30+'obrazec 8'!AP59</f>
        <v>#VALUE!</v>
      </c>
    </row>
    <row r="96" spans="1:35" ht="14.25">
      <c r="A96" s="118"/>
      <c r="B96" s="118"/>
      <c r="C96" s="118"/>
      <c r="D96" s="125"/>
      <c r="E96" s="125"/>
      <c r="F96" s="125"/>
      <c r="G96" s="125"/>
      <c r="H96" s="125"/>
      <c r="I96" s="125"/>
      <c r="J96" s="125"/>
      <c r="K96" s="118"/>
      <c r="L96" s="118"/>
      <c r="M96" s="118"/>
      <c r="N96" s="118"/>
      <c r="P96" s="125"/>
      <c r="Q96" s="125"/>
      <c r="R96" s="125"/>
      <c r="S96" s="118"/>
      <c r="T96" s="118"/>
      <c r="U96" s="125"/>
      <c r="V96" s="125"/>
      <c r="W96" s="125"/>
      <c r="X96" s="125"/>
      <c r="Y96" s="125"/>
      <c r="AA96" s="125"/>
      <c r="AB96" s="718" t="s">
        <v>292</v>
      </c>
      <c r="AC96" s="718"/>
      <c r="AD96" s="718"/>
      <c r="AE96" s="718"/>
      <c r="AF96" s="718"/>
      <c r="AG96" s="125"/>
      <c r="AH96" s="125"/>
      <c r="AI96" s="125"/>
    </row>
    <row r="97" spans="1:35" ht="14.25" hidden="1">
      <c r="A97" s="121">
        <f>COUNTIF($A$75:$A$95,"&gt;0")</f>
        <v>0</v>
      </c>
      <c r="B97" s="121">
        <f>COUNTIF($B$75:$B$95,"&gt;0")</f>
        <v>0</v>
      </c>
      <c r="C97" s="121">
        <f>COUNTIF($C$75:$C$95,"&gt;0")</f>
        <v>0</v>
      </c>
      <c r="E97" s="118"/>
      <c r="F97" s="118"/>
      <c r="G97" s="118"/>
      <c r="H97" s="118"/>
      <c r="I97" s="118"/>
      <c r="J97" s="121">
        <f>COUNTIF($J$75:$J$95,"&gt;0")</f>
        <v>0</v>
      </c>
      <c r="K97" s="121">
        <f>COUNTIF($K$75:$K$95,"&gt;0")</f>
        <v>0</v>
      </c>
      <c r="L97" s="121">
        <f>COUNTIF($L$75:$L$95,"&gt;0")</f>
        <v>0</v>
      </c>
      <c r="M97" s="121">
        <f>COUNTIF($M$75:$M$95,"&gt;0")</f>
        <v>0</v>
      </c>
      <c r="N97" s="121">
        <f>COUNTIF($N$75:$N$95,"&gt;0")</f>
        <v>0</v>
      </c>
      <c r="P97" s="121"/>
      <c r="Q97" s="121"/>
      <c r="R97" s="121"/>
      <c r="S97" s="118"/>
      <c r="T97" s="118"/>
      <c r="U97" s="121">
        <f>COUNTIF($U$75:$U$95,"&gt;0")</f>
        <v>0</v>
      </c>
      <c r="V97" s="121">
        <f>COUNTIF($V$75:$V$95,"&gt;0")</f>
        <v>0</v>
      </c>
      <c r="W97" s="121">
        <f>COUNTIF($W$75:$W$92,"&gt;0")</f>
        <v>0</v>
      </c>
      <c r="X97" s="121">
        <f>COUNTIF($X$75:$X$92,"&gt;0")</f>
        <v>0</v>
      </c>
      <c r="Y97" s="121">
        <f>COUNTIF($Y$75:$Y$92,"&gt;0")</f>
        <v>0</v>
      </c>
      <c r="AA97" s="121"/>
      <c r="AB97" s="121"/>
      <c r="AC97" s="121"/>
      <c r="AD97" s="121"/>
      <c r="AG97" s="121">
        <f>COUNTIF($AG$75:$AG$92,"&gt;0")</f>
        <v>0</v>
      </c>
      <c r="AH97" s="121">
        <f>COUNTIF($AH$75:$AH$95,"&gt;0")</f>
        <v>0</v>
      </c>
      <c r="AI97" s="118"/>
    </row>
    <row r="98" spans="1:35" ht="14.25" hidden="1">
      <c r="A98" s="118"/>
      <c r="B98" s="118"/>
      <c r="C98" s="118"/>
      <c r="D98" s="118"/>
      <c r="E98" s="192"/>
      <c r="F98" s="192"/>
      <c r="G98" s="192"/>
      <c r="H98" s="192"/>
      <c r="I98" s="192"/>
      <c r="J98" s="192"/>
      <c r="K98" s="121"/>
      <c r="L98" s="121">
        <f>A97+L97+W97</f>
        <v>0</v>
      </c>
      <c r="M98" s="121">
        <f>B97+M97+X97</f>
        <v>0</v>
      </c>
      <c r="N98" s="121">
        <f>C97+N97+Y97</f>
        <v>0</v>
      </c>
      <c r="O98" s="121">
        <f>K97+V97+AH97</f>
        <v>0</v>
      </c>
      <c r="P98" s="121"/>
      <c r="Q98" s="121"/>
      <c r="R98" s="121"/>
      <c r="S98" s="192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92"/>
      <c r="AF98" s="192"/>
      <c r="AG98" s="192"/>
      <c r="AH98" s="192"/>
      <c r="AI98" s="192"/>
    </row>
    <row r="99" spans="1:35" ht="14.2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 t="s">
        <v>214</v>
      </c>
      <c r="M99" s="118" t="s">
        <v>215</v>
      </c>
      <c r="N99" s="118" t="s">
        <v>216</v>
      </c>
      <c r="O99" s="118" t="s">
        <v>217</v>
      </c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</row>
    <row r="100" spans="1:35" ht="14.25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</row>
    <row r="101" spans="1:35" ht="14.25">
      <c r="A101" s="118"/>
      <c r="B101" s="118"/>
      <c r="C101" s="118"/>
      <c r="D101" s="118"/>
      <c r="E101" s="717" t="s">
        <v>297</v>
      </c>
      <c r="F101" s="717"/>
      <c r="G101" s="717"/>
      <c r="H101" s="717"/>
      <c r="I101" s="717"/>
      <c r="J101" s="717"/>
      <c r="K101" s="192"/>
      <c r="L101" s="192"/>
      <c r="M101" s="192"/>
      <c r="N101" s="192"/>
      <c r="O101" s="192"/>
      <c r="P101" s="192"/>
      <c r="Q101" s="192"/>
      <c r="R101" s="192"/>
      <c r="S101" s="192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92" t="s">
        <v>298</v>
      </c>
      <c r="AD101" s="192"/>
      <c r="AE101" s="192"/>
      <c r="AF101" s="192"/>
      <c r="AG101" s="192"/>
      <c r="AH101" s="192"/>
      <c r="AI101" s="192"/>
    </row>
    <row r="102" spans="1:35" ht="14.2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712">
        <f>IF('obrazec 1'!F4="","",'obrazec 1'!F12)</f>
      </c>
      <c r="AD102" s="712"/>
      <c r="AE102" s="712"/>
      <c r="AF102" s="712"/>
      <c r="AG102" s="712"/>
      <c r="AH102" s="712"/>
      <c r="AI102" s="118"/>
    </row>
    <row r="103" spans="1:34" ht="14.25">
      <c r="A103" s="118"/>
      <c r="B103" s="118"/>
      <c r="C103" s="118"/>
      <c r="D103" s="118"/>
      <c r="E103" s="715">
        <f>IF('obrazec 2'!A3="","",'obrazec 2'!A3)</f>
      </c>
      <c r="F103" s="715"/>
      <c r="G103" s="715"/>
      <c r="H103" s="715"/>
      <c r="I103" s="715"/>
      <c r="J103" s="715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715">
        <f>IF('obrazec 1'!F6="","",'obrazec 1'!F14)</f>
      </c>
      <c r="AD103" s="715"/>
      <c r="AE103" s="715"/>
      <c r="AF103" s="715"/>
      <c r="AG103" s="715"/>
      <c r="AH103" s="715"/>
    </row>
    <row r="104" spans="1:35" ht="14.25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</row>
    <row r="105" spans="1:35" ht="14.25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</row>
    <row r="106" spans="1:35" ht="14.25">
      <c r="A106" s="118"/>
      <c r="B106" s="118"/>
      <c r="C106" s="118"/>
      <c r="D106" s="118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286"/>
      <c r="V106" s="118"/>
      <c r="W106" s="118"/>
      <c r="X106" s="118"/>
      <c r="Y106" s="118"/>
      <c r="Z106" s="118"/>
      <c r="AA106" s="118"/>
      <c r="AB106" s="118"/>
      <c r="AC106" s="192" t="s">
        <v>348</v>
      </c>
      <c r="AD106" s="192"/>
      <c r="AE106" s="192"/>
      <c r="AF106" s="192"/>
      <c r="AG106" s="192"/>
      <c r="AH106" s="192"/>
      <c r="AI106" s="118"/>
    </row>
    <row r="107" spans="1:35" ht="14.25">
      <c r="A107" s="118"/>
      <c r="B107" s="118"/>
      <c r="C107" s="118"/>
      <c r="D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713">
        <f>IF('obrazec 1'!F4="","",'obrazec 1'!F4)</f>
      </c>
      <c r="AD107" s="713"/>
      <c r="AE107" s="713"/>
      <c r="AF107" s="713"/>
      <c r="AG107" s="713"/>
      <c r="AH107" s="713"/>
      <c r="AI107" s="118"/>
    </row>
    <row r="108" spans="29:34" ht="14.25">
      <c r="AC108" s="715">
        <f>IF('obrazec 1'!F6="","",'obrazec 1'!F6)</f>
      </c>
      <c r="AD108" s="715"/>
      <c r="AE108" s="715"/>
      <c r="AF108" s="715"/>
      <c r="AG108" s="715"/>
      <c r="AH108" s="715"/>
    </row>
  </sheetData>
  <sheetProtection password="C86A" sheet="1" objects="1" scenarios="1" selectLockedCells="1"/>
  <mergeCells count="109">
    <mergeCell ref="E101:J101"/>
    <mergeCell ref="AB95:AF95"/>
    <mergeCell ref="AB96:AF96"/>
    <mergeCell ref="F95:I95"/>
    <mergeCell ref="F91:I91"/>
    <mergeCell ref="F94:I94"/>
    <mergeCell ref="E103:J103"/>
    <mergeCell ref="Q95:T95"/>
    <mergeCell ref="AC108:AH108"/>
    <mergeCell ref="AC103:AH103"/>
    <mergeCell ref="AB90:AF90"/>
    <mergeCell ref="AB91:AF91"/>
    <mergeCell ref="AB92:AF92"/>
    <mergeCell ref="F93:I93"/>
    <mergeCell ref="Q90:T90"/>
    <mergeCell ref="F92:I92"/>
    <mergeCell ref="Q89:T89"/>
    <mergeCell ref="AC102:AH102"/>
    <mergeCell ref="AC107:AH107"/>
    <mergeCell ref="AB89:AF89"/>
    <mergeCell ref="AB93:AF93"/>
    <mergeCell ref="AB94:AF94"/>
    <mergeCell ref="Q94:T94"/>
    <mergeCell ref="Q93:T93"/>
    <mergeCell ref="Q92:T92"/>
    <mergeCell ref="Q91:T91"/>
    <mergeCell ref="AB81:AF81"/>
    <mergeCell ref="AB82:AF82"/>
    <mergeCell ref="AB83:AF83"/>
    <mergeCell ref="AB84:AF84"/>
    <mergeCell ref="AB87:AF87"/>
    <mergeCell ref="AB88:AF88"/>
    <mergeCell ref="AB85:AF85"/>
    <mergeCell ref="AB86:AF86"/>
    <mergeCell ref="Q81:T81"/>
    <mergeCell ref="Q82:T82"/>
    <mergeCell ref="F82:I82"/>
    <mergeCell ref="F83:I83"/>
    <mergeCell ref="F84:I84"/>
    <mergeCell ref="F85:I85"/>
    <mergeCell ref="Q86:T86"/>
    <mergeCell ref="Q87:T87"/>
    <mergeCell ref="Q83:T83"/>
    <mergeCell ref="Q88:T88"/>
    <mergeCell ref="Q85:T85"/>
    <mergeCell ref="F88:I88"/>
    <mergeCell ref="Q84:T84"/>
    <mergeCell ref="F89:I89"/>
    <mergeCell ref="F90:I90"/>
    <mergeCell ref="F81:I81"/>
    <mergeCell ref="F86:I86"/>
    <mergeCell ref="F87:I87"/>
    <mergeCell ref="AB77:AF77"/>
    <mergeCell ref="AB78:AF78"/>
    <mergeCell ref="AB79:AF79"/>
    <mergeCell ref="AB80:AF80"/>
    <mergeCell ref="F78:I78"/>
    <mergeCell ref="F80:I80"/>
    <mergeCell ref="Q76:T76"/>
    <mergeCell ref="Q77:T77"/>
    <mergeCell ref="Q78:T78"/>
    <mergeCell ref="Q79:T79"/>
    <mergeCell ref="Q80:T80"/>
    <mergeCell ref="F77:I77"/>
    <mergeCell ref="F79:I79"/>
    <mergeCell ref="F75:I75"/>
    <mergeCell ref="Q75:T75"/>
    <mergeCell ref="AA64:AI64"/>
    <mergeCell ref="AB75:AF75"/>
    <mergeCell ref="F64:K64"/>
    <mergeCell ref="P64:V64"/>
    <mergeCell ref="AB76:AF76"/>
    <mergeCell ref="R63:S63"/>
    <mergeCell ref="T63:V63"/>
    <mergeCell ref="F76:I76"/>
    <mergeCell ref="R8:S8"/>
    <mergeCell ref="T8:V8"/>
    <mergeCell ref="P62:Q62"/>
    <mergeCell ref="R62:S62"/>
    <mergeCell ref="T62:V62"/>
    <mergeCell ref="F62:G62"/>
    <mergeCell ref="AG62:AI62"/>
    <mergeCell ref="AA63:AC63"/>
    <mergeCell ref="AD63:AF63"/>
    <mergeCell ref="AG63:AI63"/>
    <mergeCell ref="F74:I74"/>
    <mergeCell ref="Q74:T74"/>
    <mergeCell ref="H63:I63"/>
    <mergeCell ref="AB74:AE74"/>
    <mergeCell ref="Q69:AI69"/>
    <mergeCell ref="F63:G63"/>
    <mergeCell ref="H8:I8"/>
    <mergeCell ref="J63:K63"/>
    <mergeCell ref="P63:Q63"/>
    <mergeCell ref="AA62:AC62"/>
    <mergeCell ref="AD62:AF62"/>
    <mergeCell ref="P8:Q8"/>
    <mergeCell ref="H62:I62"/>
    <mergeCell ref="J62:K62"/>
    <mergeCell ref="E7:E9"/>
    <mergeCell ref="J8:K8"/>
    <mergeCell ref="F7:K7"/>
    <mergeCell ref="E2:AI2"/>
    <mergeCell ref="P7:V7"/>
    <mergeCell ref="AA8:AC8"/>
    <mergeCell ref="AD8:AF8"/>
    <mergeCell ref="AG8:AI8"/>
    <mergeCell ref="AA7:AI7"/>
    <mergeCell ref="F8:G8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6" r:id="rId2"/>
  <headerFooter>
    <oddFooter>&amp;R&amp;K00-024&amp;A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F104"/>
  <sheetViews>
    <sheetView showGridLines="0" zoomScalePageLayoutView="0" workbookViewId="0" topLeftCell="A1">
      <selection activeCell="U21" sqref="U21"/>
    </sheetView>
  </sheetViews>
  <sheetFormatPr defaultColWidth="9.140625" defaultRowHeight="15"/>
  <cols>
    <col min="1" max="1" width="5.140625" style="4" customWidth="1"/>
    <col min="2" max="46" width="4.7109375" style="4" customWidth="1"/>
    <col min="47" max="48" width="5.7109375" style="4" customWidth="1"/>
    <col min="49" max="54" width="5.7109375" style="4" hidden="1" customWidth="1"/>
    <col min="55" max="57" width="4.7109375" style="4" hidden="1" customWidth="1"/>
    <col min="58" max="60" width="8.8515625" style="4" hidden="1" customWidth="1"/>
    <col min="61" max="16384" width="8.8515625" style="4" customWidth="1"/>
  </cols>
  <sheetData>
    <row r="1" ht="4.5" customHeight="1"/>
    <row r="2" spans="1:47" ht="15" customHeight="1">
      <c r="A2" s="694">
        <f>IF('obrazec 1'!F4="","",'obrazec 1'!F4)</f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  <c r="AU2" s="694"/>
    </row>
    <row r="3" ht="4.5" customHeight="1"/>
    <row r="4" ht="14.25">
      <c r="N4" s="4" t="s">
        <v>174</v>
      </c>
    </row>
    <row r="5" spans="12:16" ht="14.25">
      <c r="L5" s="41"/>
      <c r="M5" s="41"/>
      <c r="N5" s="41"/>
      <c r="O5" s="41"/>
      <c r="P5" s="41"/>
    </row>
    <row r="6" spans="1:35" ht="14.25">
      <c r="A6" s="587" t="s">
        <v>263</v>
      </c>
      <c r="B6" s="587"/>
      <c r="C6" s="587"/>
      <c r="D6" s="587"/>
      <c r="E6" s="739">
        <f>IF('obrazec 2'!A3="","",'obrazec 2'!A3)</f>
      </c>
      <c r="F6" s="739"/>
      <c r="G6" s="739"/>
      <c r="H6" s="739"/>
      <c r="I6" s="739"/>
      <c r="J6" s="739"/>
      <c r="K6" s="739"/>
      <c r="L6" s="739"/>
      <c r="M6" s="41"/>
      <c r="N6" s="738" t="s">
        <v>401</v>
      </c>
      <c r="O6" s="738"/>
      <c r="P6" s="738"/>
      <c r="Q6" s="739">
        <f>IF(A2="","",A2)</f>
      </c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D6" s="4" t="s">
        <v>250</v>
      </c>
      <c r="AH6" s="745"/>
      <c r="AI6" s="745"/>
    </row>
    <row r="7" spans="1:37" ht="14.25">
      <c r="A7" s="42"/>
      <c r="B7" s="42"/>
      <c r="C7" s="26"/>
      <c r="D7" s="26"/>
      <c r="E7" s="26"/>
      <c r="F7" s="26"/>
      <c r="G7" s="26"/>
      <c r="H7" s="26"/>
      <c r="I7" s="26"/>
      <c r="J7" s="26"/>
      <c r="K7" s="26"/>
      <c r="L7" s="41"/>
      <c r="M7" s="41"/>
      <c r="N7" s="43"/>
      <c r="O7" s="43"/>
      <c r="P7" s="43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E7" s="544"/>
      <c r="AF7" s="544"/>
      <c r="AG7" s="544"/>
      <c r="AH7" s="544" t="s">
        <v>469</v>
      </c>
      <c r="AI7" s="45"/>
      <c r="AK7" s="41"/>
    </row>
    <row r="8" spans="1:16" ht="14.25">
      <c r="A8" s="675" t="s">
        <v>435</v>
      </c>
      <c r="B8" s="675"/>
      <c r="C8" s="675"/>
      <c r="D8" s="675"/>
      <c r="E8" s="675"/>
      <c r="F8" s="675"/>
      <c r="G8" s="675"/>
      <c r="H8" s="675"/>
      <c r="I8" s="675"/>
      <c r="J8" s="675"/>
      <c r="K8" s="646"/>
      <c r="L8" s="646"/>
      <c r="M8" s="646"/>
      <c r="N8" s="480">
        <f>+IF(AND(A2&lt;&gt;"",K8=""),"NAPAKA - obvezno izpolnite polje !","")</f>
      </c>
      <c r="O8" s="41"/>
      <c r="P8" s="41"/>
    </row>
    <row r="9" spans="11:13" ht="14.25">
      <c r="K9" s="743" t="s">
        <v>257</v>
      </c>
      <c r="L9" s="743"/>
      <c r="M9" s="743"/>
    </row>
    <row r="10" spans="2:46" ht="14.25">
      <c r="B10" s="740" t="s">
        <v>175</v>
      </c>
      <c r="C10" s="741"/>
      <c r="D10" s="741"/>
      <c r="E10" s="741"/>
      <c r="F10" s="741"/>
      <c r="G10" s="741"/>
      <c r="H10" s="741"/>
      <c r="I10" s="741"/>
      <c r="J10" s="742"/>
      <c r="K10" s="734" t="s">
        <v>176</v>
      </c>
      <c r="L10" s="735"/>
      <c r="M10" s="735"/>
      <c r="N10" s="735"/>
      <c r="O10" s="735"/>
      <c r="P10" s="735"/>
      <c r="Q10" s="735"/>
      <c r="R10" s="735"/>
      <c r="S10" s="744"/>
      <c r="T10" s="734" t="s">
        <v>177</v>
      </c>
      <c r="U10" s="735"/>
      <c r="V10" s="735"/>
      <c r="W10" s="735"/>
      <c r="X10" s="735"/>
      <c r="Y10" s="735"/>
      <c r="Z10" s="735"/>
      <c r="AA10" s="735"/>
      <c r="AB10" s="744"/>
      <c r="AC10" s="734" t="s">
        <v>178</v>
      </c>
      <c r="AD10" s="735"/>
      <c r="AE10" s="735"/>
      <c r="AF10" s="735"/>
      <c r="AG10" s="735"/>
      <c r="AH10" s="735"/>
      <c r="AI10" s="735"/>
      <c r="AJ10" s="735"/>
      <c r="AK10" s="736"/>
      <c r="AL10" s="734" t="s">
        <v>179</v>
      </c>
      <c r="AM10" s="735"/>
      <c r="AN10" s="735"/>
      <c r="AO10" s="735"/>
      <c r="AP10" s="735"/>
      <c r="AQ10" s="735"/>
      <c r="AR10" s="735"/>
      <c r="AS10" s="735"/>
      <c r="AT10" s="736"/>
    </row>
    <row r="11" spans="2:46" ht="14.25">
      <c r="B11" s="46" t="s">
        <v>218</v>
      </c>
      <c r="C11" s="47" t="s">
        <v>221</v>
      </c>
      <c r="D11" s="47" t="s">
        <v>222</v>
      </c>
      <c r="E11" s="47" t="s">
        <v>223</v>
      </c>
      <c r="F11" s="47" t="s">
        <v>219</v>
      </c>
      <c r="G11" s="47" t="s">
        <v>224</v>
      </c>
      <c r="H11" s="47" t="s">
        <v>225</v>
      </c>
      <c r="I11" s="47" t="s">
        <v>226</v>
      </c>
      <c r="J11" s="48" t="s">
        <v>227</v>
      </c>
      <c r="K11" s="46" t="s">
        <v>218</v>
      </c>
      <c r="L11" s="47" t="s">
        <v>221</v>
      </c>
      <c r="M11" s="47" t="s">
        <v>222</v>
      </c>
      <c r="N11" s="47" t="s">
        <v>223</v>
      </c>
      <c r="O11" s="47" t="s">
        <v>219</v>
      </c>
      <c r="P11" s="47" t="s">
        <v>224</v>
      </c>
      <c r="Q11" s="47" t="s">
        <v>225</v>
      </c>
      <c r="R11" s="47" t="s">
        <v>226</v>
      </c>
      <c r="S11" s="48" t="s">
        <v>227</v>
      </c>
      <c r="T11" s="46" t="s">
        <v>218</v>
      </c>
      <c r="U11" s="47" t="s">
        <v>221</v>
      </c>
      <c r="V11" s="47" t="s">
        <v>222</v>
      </c>
      <c r="W11" s="47" t="s">
        <v>223</v>
      </c>
      <c r="X11" s="47" t="s">
        <v>219</v>
      </c>
      <c r="Y11" s="47" t="s">
        <v>224</v>
      </c>
      <c r="Z11" s="47" t="s">
        <v>225</v>
      </c>
      <c r="AA11" s="47" t="s">
        <v>226</v>
      </c>
      <c r="AB11" s="48" t="s">
        <v>227</v>
      </c>
      <c r="AC11" s="46" t="s">
        <v>218</v>
      </c>
      <c r="AD11" s="47" t="s">
        <v>221</v>
      </c>
      <c r="AE11" s="47" t="s">
        <v>222</v>
      </c>
      <c r="AF11" s="47" t="s">
        <v>223</v>
      </c>
      <c r="AG11" s="47" t="s">
        <v>219</v>
      </c>
      <c r="AH11" s="47" t="s">
        <v>224</v>
      </c>
      <c r="AI11" s="47" t="s">
        <v>225</v>
      </c>
      <c r="AJ11" s="47" t="s">
        <v>226</v>
      </c>
      <c r="AK11" s="48" t="s">
        <v>227</v>
      </c>
      <c r="AL11" s="46" t="s">
        <v>218</v>
      </c>
      <c r="AM11" s="47" t="s">
        <v>221</v>
      </c>
      <c r="AN11" s="47" t="s">
        <v>222</v>
      </c>
      <c r="AO11" s="47" t="s">
        <v>223</v>
      </c>
      <c r="AP11" s="47" t="s">
        <v>219</v>
      </c>
      <c r="AQ11" s="47" t="s">
        <v>224</v>
      </c>
      <c r="AR11" s="47" t="s">
        <v>225</v>
      </c>
      <c r="AS11" s="47" t="s">
        <v>226</v>
      </c>
      <c r="AT11" s="49" t="s">
        <v>227</v>
      </c>
    </row>
    <row r="12" spans="1:54" ht="13.5" customHeight="1">
      <c r="A12" s="50" t="s">
        <v>180</v>
      </c>
      <c r="B12" s="91"/>
      <c r="C12" s="92"/>
      <c r="D12" s="92"/>
      <c r="E12" s="92"/>
      <c r="F12" s="92"/>
      <c r="G12" s="92"/>
      <c r="H12" s="92"/>
      <c r="I12" s="92"/>
      <c r="J12" s="93"/>
      <c r="K12" s="91"/>
      <c r="L12" s="92"/>
      <c r="M12" s="92"/>
      <c r="N12" s="92"/>
      <c r="O12" s="92"/>
      <c r="P12" s="92"/>
      <c r="Q12" s="92"/>
      <c r="R12" s="92"/>
      <c r="S12" s="93"/>
      <c r="T12" s="91"/>
      <c r="U12" s="92"/>
      <c r="V12" s="92"/>
      <c r="W12" s="92"/>
      <c r="X12" s="92"/>
      <c r="Y12" s="92"/>
      <c r="Z12" s="92"/>
      <c r="AA12" s="92"/>
      <c r="AB12" s="93"/>
      <c r="AC12" s="91"/>
      <c r="AD12" s="92"/>
      <c r="AE12" s="92"/>
      <c r="AF12" s="92"/>
      <c r="AG12" s="92"/>
      <c r="AH12" s="92"/>
      <c r="AI12" s="92"/>
      <c r="AJ12" s="92"/>
      <c r="AK12" s="93"/>
      <c r="AL12" s="91"/>
      <c r="AM12" s="92"/>
      <c r="AN12" s="92"/>
      <c r="AO12" s="92"/>
      <c r="AP12" s="92"/>
      <c r="AQ12" s="92"/>
      <c r="AR12" s="92"/>
      <c r="AS12" s="92"/>
      <c r="AT12" s="94"/>
      <c r="AU12" s="51">
        <f>IF(COUNTIF($AW12:$BA12,"NAPAKA 3")&gt;0,"NAPAKA 3","")</f>
      </c>
      <c r="AW12" s="51">
        <f aca="true" t="shared" si="0" ref="AW12:AW21">IF($BF$26=0,"",IF(COUNTIF(B12:J12,"*")&gt;1,"NAPAKA 3",""))</f>
      </c>
      <c r="AX12" s="51">
        <f aca="true" t="shared" si="1" ref="AX12:AX21">IF($BF$26=0,"",IF(COUNTIF(K12:S12,"*")&gt;1,"NAPAKA 3",""))</f>
      </c>
      <c r="AY12" s="51">
        <f aca="true" t="shared" si="2" ref="AY12:AY21">IF($BF$26=0,"",IF(COUNTIF(T12:AB12,"*")&gt;1,"NAPAKA 3",""))</f>
      </c>
      <c r="AZ12" s="51">
        <f aca="true" t="shared" si="3" ref="AZ12:AZ21">IF($BF$26=0,"",IF(COUNTIF(AC12:AK12,"*")&gt;1,"NAPAKA 3",""))</f>
      </c>
      <c r="BA12" s="51">
        <f aca="true" t="shared" si="4" ref="BA12:BA21">IF($BF$26=0,"",IF(COUNTIF(AL12:AT12,"*")&gt;1,"NAPAKA 3",""))</f>
      </c>
      <c r="BB12" s="4" t="s">
        <v>231</v>
      </c>
    </row>
    <row r="13" spans="1:53" ht="13.5" customHeight="1">
      <c r="A13" s="50" t="s">
        <v>181</v>
      </c>
      <c r="B13" s="95"/>
      <c r="C13" s="96"/>
      <c r="D13" s="96"/>
      <c r="E13" s="96"/>
      <c r="F13" s="96"/>
      <c r="G13" s="96"/>
      <c r="H13" s="96"/>
      <c r="I13" s="96"/>
      <c r="J13" s="97"/>
      <c r="K13" s="95"/>
      <c r="L13" s="96"/>
      <c r="M13" s="96"/>
      <c r="N13" s="96"/>
      <c r="O13" s="96"/>
      <c r="P13" s="96"/>
      <c r="Q13" s="96"/>
      <c r="R13" s="96"/>
      <c r="S13" s="97"/>
      <c r="T13" s="95"/>
      <c r="U13" s="96"/>
      <c r="V13" s="96"/>
      <c r="W13" s="96"/>
      <c r="X13" s="96"/>
      <c r="Y13" s="96"/>
      <c r="Z13" s="96"/>
      <c r="AA13" s="96"/>
      <c r="AB13" s="97"/>
      <c r="AC13" s="95"/>
      <c r="AD13" s="96"/>
      <c r="AE13" s="96"/>
      <c r="AF13" s="96"/>
      <c r="AG13" s="96"/>
      <c r="AH13" s="96"/>
      <c r="AI13" s="96"/>
      <c r="AJ13" s="96"/>
      <c r="AK13" s="97"/>
      <c r="AL13" s="95"/>
      <c r="AM13" s="96"/>
      <c r="AN13" s="96"/>
      <c r="AO13" s="96"/>
      <c r="AP13" s="96"/>
      <c r="AQ13" s="96"/>
      <c r="AR13" s="96"/>
      <c r="AS13" s="96"/>
      <c r="AT13" s="98"/>
      <c r="AU13" s="51">
        <f aca="true" t="shared" si="5" ref="AU13:AU21">IF(COUNTIF($AW13:$BA13,"NAPAKA 3")&gt;0,"NAPAKA 3","")</f>
      </c>
      <c r="AW13" s="51">
        <f t="shared" si="0"/>
      </c>
      <c r="AX13" s="51">
        <f t="shared" si="1"/>
      </c>
      <c r="AY13" s="51">
        <f t="shared" si="2"/>
      </c>
      <c r="AZ13" s="51">
        <f t="shared" si="3"/>
      </c>
      <c r="BA13" s="51">
        <f t="shared" si="4"/>
      </c>
    </row>
    <row r="14" spans="1:53" ht="13.5" customHeight="1">
      <c r="A14" s="50" t="s">
        <v>182</v>
      </c>
      <c r="B14" s="95"/>
      <c r="C14" s="96"/>
      <c r="D14" s="96"/>
      <c r="E14" s="96"/>
      <c r="F14" s="96"/>
      <c r="G14" s="96"/>
      <c r="H14" s="96"/>
      <c r="I14" s="96"/>
      <c r="J14" s="97"/>
      <c r="K14" s="95"/>
      <c r="L14" s="96"/>
      <c r="M14" s="96"/>
      <c r="N14" s="96"/>
      <c r="O14" s="96"/>
      <c r="P14" s="96"/>
      <c r="Q14" s="96"/>
      <c r="R14" s="96"/>
      <c r="S14" s="97"/>
      <c r="T14" s="95"/>
      <c r="U14" s="96"/>
      <c r="V14" s="96"/>
      <c r="W14" s="96"/>
      <c r="X14" s="96"/>
      <c r="Y14" s="96"/>
      <c r="Z14" s="96"/>
      <c r="AA14" s="96"/>
      <c r="AB14" s="97"/>
      <c r="AC14" s="95"/>
      <c r="AD14" s="96"/>
      <c r="AE14" s="96"/>
      <c r="AF14" s="96"/>
      <c r="AG14" s="96"/>
      <c r="AH14" s="96"/>
      <c r="AI14" s="96"/>
      <c r="AJ14" s="96"/>
      <c r="AK14" s="97"/>
      <c r="AL14" s="95"/>
      <c r="AM14" s="96"/>
      <c r="AN14" s="96"/>
      <c r="AO14" s="96"/>
      <c r="AP14" s="96"/>
      <c r="AQ14" s="96"/>
      <c r="AR14" s="96"/>
      <c r="AS14" s="96"/>
      <c r="AT14" s="98"/>
      <c r="AU14" s="51">
        <f t="shared" si="5"/>
      </c>
      <c r="AW14" s="51">
        <f t="shared" si="0"/>
      </c>
      <c r="AX14" s="51">
        <f t="shared" si="1"/>
      </c>
      <c r="AY14" s="51">
        <f t="shared" si="2"/>
      </c>
      <c r="AZ14" s="51">
        <f t="shared" si="3"/>
      </c>
      <c r="BA14" s="51">
        <f t="shared" si="4"/>
      </c>
    </row>
    <row r="15" spans="1:53" ht="13.5" customHeight="1">
      <c r="A15" s="50" t="s">
        <v>183</v>
      </c>
      <c r="B15" s="95"/>
      <c r="C15" s="96"/>
      <c r="D15" s="96"/>
      <c r="E15" s="96"/>
      <c r="F15" s="96"/>
      <c r="G15" s="96"/>
      <c r="H15" s="96"/>
      <c r="I15" s="96"/>
      <c r="J15" s="97"/>
      <c r="K15" s="95"/>
      <c r="L15" s="96"/>
      <c r="M15" s="96"/>
      <c r="N15" s="96"/>
      <c r="O15" s="96"/>
      <c r="P15" s="96"/>
      <c r="Q15" s="96"/>
      <c r="R15" s="96"/>
      <c r="S15" s="97"/>
      <c r="T15" s="95"/>
      <c r="U15" s="96"/>
      <c r="V15" s="96"/>
      <c r="W15" s="96"/>
      <c r="X15" s="96"/>
      <c r="Y15" s="96"/>
      <c r="Z15" s="96"/>
      <c r="AA15" s="96"/>
      <c r="AB15" s="97"/>
      <c r="AC15" s="95"/>
      <c r="AD15" s="96"/>
      <c r="AE15" s="96"/>
      <c r="AF15" s="96"/>
      <c r="AG15" s="96"/>
      <c r="AH15" s="96"/>
      <c r="AI15" s="96"/>
      <c r="AJ15" s="96"/>
      <c r="AK15" s="97"/>
      <c r="AL15" s="95"/>
      <c r="AM15" s="96"/>
      <c r="AN15" s="96"/>
      <c r="AO15" s="96"/>
      <c r="AP15" s="96"/>
      <c r="AQ15" s="96"/>
      <c r="AR15" s="96"/>
      <c r="AS15" s="96"/>
      <c r="AT15" s="98"/>
      <c r="AU15" s="51">
        <f t="shared" si="5"/>
      </c>
      <c r="AW15" s="51">
        <f t="shared" si="0"/>
      </c>
      <c r="AX15" s="51">
        <f t="shared" si="1"/>
      </c>
      <c r="AY15" s="51">
        <f t="shared" si="2"/>
      </c>
      <c r="AZ15" s="51">
        <f t="shared" si="3"/>
      </c>
      <c r="BA15" s="51">
        <f t="shared" si="4"/>
      </c>
    </row>
    <row r="16" spans="1:53" ht="13.5" customHeight="1">
      <c r="A16" s="50" t="s">
        <v>184</v>
      </c>
      <c r="B16" s="95"/>
      <c r="C16" s="96"/>
      <c r="D16" s="96"/>
      <c r="E16" s="96"/>
      <c r="F16" s="96"/>
      <c r="G16" s="96"/>
      <c r="H16" s="96"/>
      <c r="I16" s="96"/>
      <c r="J16" s="97"/>
      <c r="K16" s="95"/>
      <c r="L16" s="96"/>
      <c r="M16" s="96"/>
      <c r="N16" s="96"/>
      <c r="O16" s="96"/>
      <c r="P16" s="96"/>
      <c r="Q16" s="96"/>
      <c r="R16" s="96"/>
      <c r="S16" s="97"/>
      <c r="T16" s="95"/>
      <c r="U16" s="96"/>
      <c r="V16" s="96"/>
      <c r="W16" s="96"/>
      <c r="X16" s="96"/>
      <c r="Y16" s="96"/>
      <c r="Z16" s="96"/>
      <c r="AA16" s="96"/>
      <c r="AB16" s="97"/>
      <c r="AC16" s="95"/>
      <c r="AD16" s="96"/>
      <c r="AE16" s="96"/>
      <c r="AF16" s="96"/>
      <c r="AG16" s="96"/>
      <c r="AH16" s="96"/>
      <c r="AI16" s="96"/>
      <c r="AJ16" s="96"/>
      <c r="AK16" s="97"/>
      <c r="AL16" s="95"/>
      <c r="AM16" s="96"/>
      <c r="AN16" s="96"/>
      <c r="AO16" s="96"/>
      <c r="AP16" s="96"/>
      <c r="AQ16" s="96"/>
      <c r="AR16" s="96"/>
      <c r="AS16" s="96"/>
      <c r="AT16" s="98"/>
      <c r="AU16" s="51">
        <f t="shared" si="5"/>
      </c>
      <c r="AW16" s="51">
        <f t="shared" si="0"/>
      </c>
      <c r="AX16" s="51">
        <f t="shared" si="1"/>
      </c>
      <c r="AY16" s="51">
        <f t="shared" si="2"/>
      </c>
      <c r="AZ16" s="51">
        <f t="shared" si="3"/>
      </c>
      <c r="BA16" s="51">
        <f t="shared" si="4"/>
      </c>
    </row>
    <row r="17" spans="1:53" ht="13.5" customHeight="1">
      <c r="A17" s="50" t="s">
        <v>185</v>
      </c>
      <c r="B17" s="95"/>
      <c r="C17" s="96"/>
      <c r="D17" s="96"/>
      <c r="E17" s="96"/>
      <c r="F17" s="96"/>
      <c r="G17" s="96"/>
      <c r="H17" s="96"/>
      <c r="I17" s="96"/>
      <c r="J17" s="97"/>
      <c r="K17" s="95"/>
      <c r="L17" s="96"/>
      <c r="M17" s="96"/>
      <c r="N17" s="96"/>
      <c r="O17" s="96"/>
      <c r="P17" s="96"/>
      <c r="Q17" s="96"/>
      <c r="R17" s="96"/>
      <c r="S17" s="97"/>
      <c r="T17" s="95"/>
      <c r="U17" s="96"/>
      <c r="V17" s="96"/>
      <c r="W17" s="96"/>
      <c r="X17" s="96"/>
      <c r="Y17" s="96"/>
      <c r="Z17" s="96"/>
      <c r="AA17" s="96"/>
      <c r="AB17" s="97"/>
      <c r="AC17" s="95"/>
      <c r="AD17" s="96"/>
      <c r="AE17" s="96"/>
      <c r="AF17" s="96"/>
      <c r="AG17" s="96"/>
      <c r="AH17" s="96"/>
      <c r="AI17" s="96"/>
      <c r="AJ17" s="96"/>
      <c r="AK17" s="97"/>
      <c r="AL17" s="95"/>
      <c r="AM17" s="96"/>
      <c r="AN17" s="96"/>
      <c r="AO17" s="96"/>
      <c r="AP17" s="96"/>
      <c r="AQ17" s="96"/>
      <c r="AR17" s="96"/>
      <c r="AS17" s="96"/>
      <c r="AT17" s="98"/>
      <c r="AU17" s="51">
        <f t="shared" si="5"/>
      </c>
      <c r="AW17" s="51">
        <f t="shared" si="0"/>
      </c>
      <c r="AX17" s="51">
        <f t="shared" si="1"/>
      </c>
      <c r="AY17" s="51">
        <f t="shared" si="2"/>
      </c>
      <c r="AZ17" s="51">
        <f t="shared" si="3"/>
      </c>
      <c r="BA17" s="51">
        <f t="shared" si="4"/>
      </c>
    </row>
    <row r="18" spans="1:53" ht="13.5" customHeight="1">
      <c r="A18" s="50" t="s">
        <v>186</v>
      </c>
      <c r="B18" s="95"/>
      <c r="C18" s="96"/>
      <c r="D18" s="96"/>
      <c r="E18" s="96"/>
      <c r="F18" s="96"/>
      <c r="G18" s="96"/>
      <c r="H18" s="96"/>
      <c r="I18" s="96"/>
      <c r="J18" s="97"/>
      <c r="K18" s="95"/>
      <c r="L18" s="96"/>
      <c r="M18" s="96"/>
      <c r="N18" s="96"/>
      <c r="O18" s="96"/>
      <c r="P18" s="96"/>
      <c r="Q18" s="96"/>
      <c r="R18" s="96"/>
      <c r="S18" s="97"/>
      <c r="T18" s="95"/>
      <c r="U18" s="96"/>
      <c r="V18" s="96"/>
      <c r="W18" s="96"/>
      <c r="X18" s="96"/>
      <c r="Y18" s="96"/>
      <c r="Z18" s="96"/>
      <c r="AA18" s="96"/>
      <c r="AB18" s="97"/>
      <c r="AC18" s="95"/>
      <c r="AD18" s="96"/>
      <c r="AE18" s="96"/>
      <c r="AF18" s="96"/>
      <c r="AG18" s="96"/>
      <c r="AH18" s="96"/>
      <c r="AI18" s="96"/>
      <c r="AJ18" s="96"/>
      <c r="AK18" s="97"/>
      <c r="AL18" s="95"/>
      <c r="AM18" s="96"/>
      <c r="AN18" s="96"/>
      <c r="AO18" s="96"/>
      <c r="AP18" s="96"/>
      <c r="AQ18" s="96"/>
      <c r="AR18" s="96"/>
      <c r="AS18" s="96"/>
      <c r="AT18" s="98"/>
      <c r="AU18" s="51">
        <f t="shared" si="5"/>
      </c>
      <c r="AW18" s="51">
        <f t="shared" si="0"/>
      </c>
      <c r="AX18" s="51">
        <f t="shared" si="1"/>
      </c>
      <c r="AY18" s="51">
        <f t="shared" si="2"/>
      </c>
      <c r="AZ18" s="51">
        <f t="shared" si="3"/>
      </c>
      <c r="BA18" s="51">
        <f t="shared" si="4"/>
      </c>
    </row>
    <row r="19" spans="1:53" ht="13.5" customHeight="1">
      <c r="A19" s="50" t="s">
        <v>187</v>
      </c>
      <c r="B19" s="95"/>
      <c r="C19" s="96"/>
      <c r="D19" s="96"/>
      <c r="E19" s="96"/>
      <c r="F19" s="96"/>
      <c r="G19" s="96"/>
      <c r="H19" s="96"/>
      <c r="I19" s="96"/>
      <c r="J19" s="97"/>
      <c r="K19" s="95"/>
      <c r="L19" s="96"/>
      <c r="M19" s="96"/>
      <c r="N19" s="96"/>
      <c r="O19" s="96"/>
      <c r="P19" s="96"/>
      <c r="Q19" s="96"/>
      <c r="R19" s="96"/>
      <c r="S19" s="97"/>
      <c r="T19" s="95"/>
      <c r="U19" s="96"/>
      <c r="V19" s="96"/>
      <c r="W19" s="96"/>
      <c r="X19" s="96"/>
      <c r="Y19" s="96"/>
      <c r="Z19" s="96"/>
      <c r="AA19" s="96"/>
      <c r="AB19" s="97"/>
      <c r="AC19" s="95"/>
      <c r="AD19" s="96"/>
      <c r="AE19" s="96"/>
      <c r="AF19" s="96"/>
      <c r="AG19" s="96"/>
      <c r="AH19" s="96"/>
      <c r="AI19" s="96"/>
      <c r="AJ19" s="96"/>
      <c r="AK19" s="97"/>
      <c r="AL19" s="95"/>
      <c r="AM19" s="96"/>
      <c r="AN19" s="96"/>
      <c r="AO19" s="96"/>
      <c r="AP19" s="96"/>
      <c r="AQ19" s="96"/>
      <c r="AR19" s="96"/>
      <c r="AS19" s="96"/>
      <c r="AT19" s="98"/>
      <c r="AU19" s="51">
        <f t="shared" si="5"/>
      </c>
      <c r="AW19" s="51">
        <f t="shared" si="0"/>
      </c>
      <c r="AX19" s="51">
        <f t="shared" si="1"/>
      </c>
      <c r="AY19" s="51">
        <f t="shared" si="2"/>
      </c>
      <c r="AZ19" s="51">
        <f t="shared" si="3"/>
      </c>
      <c r="BA19" s="51">
        <f t="shared" si="4"/>
      </c>
    </row>
    <row r="20" spans="1:53" ht="13.5" customHeight="1">
      <c r="A20" s="50" t="s">
        <v>188</v>
      </c>
      <c r="B20" s="95"/>
      <c r="C20" s="96"/>
      <c r="D20" s="96"/>
      <c r="E20" s="96"/>
      <c r="F20" s="96"/>
      <c r="G20" s="96"/>
      <c r="H20" s="96"/>
      <c r="I20" s="96"/>
      <c r="J20" s="97"/>
      <c r="K20" s="95"/>
      <c r="L20" s="96"/>
      <c r="M20" s="96"/>
      <c r="N20" s="96"/>
      <c r="O20" s="96"/>
      <c r="P20" s="96"/>
      <c r="Q20" s="96"/>
      <c r="R20" s="96"/>
      <c r="S20" s="97"/>
      <c r="T20" s="95"/>
      <c r="U20" s="96"/>
      <c r="V20" s="96"/>
      <c r="W20" s="96"/>
      <c r="X20" s="96"/>
      <c r="Y20" s="96"/>
      <c r="Z20" s="96"/>
      <c r="AA20" s="96"/>
      <c r="AB20" s="97"/>
      <c r="AC20" s="95"/>
      <c r="AD20" s="96"/>
      <c r="AE20" s="96"/>
      <c r="AF20" s="96"/>
      <c r="AG20" s="96"/>
      <c r="AH20" s="96"/>
      <c r="AI20" s="96"/>
      <c r="AJ20" s="96"/>
      <c r="AK20" s="97"/>
      <c r="AL20" s="95"/>
      <c r="AM20" s="96"/>
      <c r="AN20" s="96"/>
      <c r="AO20" s="96"/>
      <c r="AP20" s="96"/>
      <c r="AQ20" s="96"/>
      <c r="AR20" s="96"/>
      <c r="AS20" s="96"/>
      <c r="AT20" s="98"/>
      <c r="AU20" s="51">
        <f t="shared" si="5"/>
      </c>
      <c r="AW20" s="51">
        <f t="shared" si="0"/>
      </c>
      <c r="AX20" s="51">
        <f t="shared" si="1"/>
      </c>
      <c r="AY20" s="51">
        <f t="shared" si="2"/>
      </c>
      <c r="AZ20" s="51">
        <f t="shared" si="3"/>
      </c>
      <c r="BA20" s="51">
        <f t="shared" si="4"/>
      </c>
    </row>
    <row r="21" spans="1:53" ht="13.5" customHeight="1">
      <c r="A21" s="52"/>
      <c r="B21" s="99"/>
      <c r="C21" s="100"/>
      <c r="D21" s="100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0"/>
      <c r="R21" s="100"/>
      <c r="S21" s="101"/>
      <c r="T21" s="99"/>
      <c r="U21" s="100"/>
      <c r="V21" s="100"/>
      <c r="W21" s="100"/>
      <c r="X21" s="100"/>
      <c r="Y21" s="100"/>
      <c r="Z21" s="100"/>
      <c r="AA21" s="100"/>
      <c r="AB21" s="101"/>
      <c r="AC21" s="102"/>
      <c r="AD21" s="100"/>
      <c r="AE21" s="100"/>
      <c r="AF21" s="100"/>
      <c r="AG21" s="100"/>
      <c r="AH21" s="100"/>
      <c r="AI21" s="100"/>
      <c r="AJ21" s="100"/>
      <c r="AK21" s="101"/>
      <c r="AL21" s="102"/>
      <c r="AM21" s="100"/>
      <c r="AN21" s="100"/>
      <c r="AO21" s="100"/>
      <c r="AP21" s="100"/>
      <c r="AQ21" s="100"/>
      <c r="AR21" s="100"/>
      <c r="AS21" s="100"/>
      <c r="AT21" s="103"/>
      <c r="AU21" s="51">
        <f t="shared" si="5"/>
      </c>
      <c r="AW21" s="51">
        <f t="shared" si="0"/>
      </c>
      <c r="AX21" s="51">
        <f t="shared" si="1"/>
      </c>
      <c r="AY21" s="51">
        <f t="shared" si="2"/>
      </c>
      <c r="AZ21" s="51">
        <f t="shared" si="3"/>
      </c>
      <c r="BA21" s="51">
        <f t="shared" si="4"/>
      </c>
    </row>
    <row r="22" spans="1:53" ht="13.5" customHeight="1">
      <c r="A22" s="52"/>
      <c r="B22" s="731" t="s">
        <v>255</v>
      </c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3"/>
      <c r="AT22" s="53">
        <f>BF26</f>
        <v>0</v>
      </c>
      <c r="AW22" s="51"/>
      <c r="AX22" s="51"/>
      <c r="AY22" s="51"/>
      <c r="AZ22" s="51"/>
      <c r="BA22" s="51"/>
    </row>
    <row r="23" spans="1:53" ht="13.5" customHeight="1">
      <c r="A23" s="52"/>
      <c r="B23" s="731" t="s">
        <v>256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3"/>
      <c r="AT23" s="53">
        <f>AH6*AT22</f>
        <v>0</v>
      </c>
      <c r="AW23" s="51"/>
      <c r="AX23" s="51"/>
      <c r="AY23" s="51"/>
      <c r="AZ23" s="51"/>
      <c r="BA23" s="51"/>
    </row>
    <row r="24" spans="2:58" ht="13.5" customHeight="1">
      <c r="B24" s="54" t="str">
        <f aca="true" t="shared" si="6" ref="B24:AT24">IF(AND(B46="",B47="",B48="",B49="",B50="",B51="",B52="",B53="",B54="",B55="")," ","NAPAKA 1")</f>
        <v> </v>
      </c>
      <c r="C24" s="54" t="str">
        <f t="shared" si="6"/>
        <v> </v>
      </c>
      <c r="D24" s="54" t="str">
        <f t="shared" si="6"/>
        <v> </v>
      </c>
      <c r="E24" s="54" t="str">
        <f t="shared" si="6"/>
        <v> </v>
      </c>
      <c r="F24" s="54" t="str">
        <f t="shared" si="6"/>
        <v> </v>
      </c>
      <c r="G24" s="54" t="str">
        <f t="shared" si="6"/>
        <v> </v>
      </c>
      <c r="H24" s="54" t="str">
        <f t="shared" si="6"/>
        <v> </v>
      </c>
      <c r="I24" s="54" t="str">
        <f t="shared" si="6"/>
        <v> </v>
      </c>
      <c r="J24" s="54" t="str">
        <f t="shared" si="6"/>
        <v> </v>
      </c>
      <c r="K24" s="54" t="str">
        <f t="shared" si="6"/>
        <v> </v>
      </c>
      <c r="L24" s="54" t="str">
        <f t="shared" si="6"/>
        <v> </v>
      </c>
      <c r="M24" s="54" t="str">
        <f t="shared" si="6"/>
        <v> </v>
      </c>
      <c r="N24" s="54" t="str">
        <f t="shared" si="6"/>
        <v> </v>
      </c>
      <c r="O24" s="54" t="str">
        <f t="shared" si="6"/>
        <v> </v>
      </c>
      <c r="P24" s="54" t="str">
        <f t="shared" si="6"/>
        <v> </v>
      </c>
      <c r="Q24" s="54" t="str">
        <f t="shared" si="6"/>
        <v> </v>
      </c>
      <c r="R24" s="54" t="str">
        <f t="shared" si="6"/>
        <v> </v>
      </c>
      <c r="S24" s="54" t="str">
        <f t="shared" si="6"/>
        <v> </v>
      </c>
      <c r="T24" s="54" t="str">
        <f t="shared" si="6"/>
        <v> </v>
      </c>
      <c r="U24" s="54" t="str">
        <f t="shared" si="6"/>
        <v> </v>
      </c>
      <c r="V24" s="54" t="str">
        <f t="shared" si="6"/>
        <v> </v>
      </c>
      <c r="W24" s="54" t="str">
        <f t="shared" si="6"/>
        <v> </v>
      </c>
      <c r="X24" s="54" t="str">
        <f t="shared" si="6"/>
        <v> </v>
      </c>
      <c r="Y24" s="54" t="str">
        <f t="shared" si="6"/>
        <v> </v>
      </c>
      <c r="Z24" s="54" t="str">
        <f t="shared" si="6"/>
        <v> </v>
      </c>
      <c r="AA24" s="54" t="str">
        <f t="shared" si="6"/>
        <v> </v>
      </c>
      <c r="AB24" s="54" t="str">
        <f t="shared" si="6"/>
        <v> </v>
      </c>
      <c r="AC24" s="54" t="str">
        <f t="shared" si="6"/>
        <v> </v>
      </c>
      <c r="AD24" s="54" t="str">
        <f t="shared" si="6"/>
        <v> </v>
      </c>
      <c r="AE24" s="54" t="str">
        <f t="shared" si="6"/>
        <v> </v>
      </c>
      <c r="AF24" s="54" t="str">
        <f t="shared" si="6"/>
        <v> </v>
      </c>
      <c r="AG24" s="54" t="str">
        <f t="shared" si="6"/>
        <v> </v>
      </c>
      <c r="AH24" s="54" t="str">
        <f t="shared" si="6"/>
        <v> </v>
      </c>
      <c r="AI24" s="54" t="str">
        <f t="shared" si="6"/>
        <v> </v>
      </c>
      <c r="AJ24" s="54" t="str">
        <f t="shared" si="6"/>
        <v> </v>
      </c>
      <c r="AK24" s="54" t="str">
        <f t="shared" si="6"/>
        <v> </v>
      </c>
      <c r="AL24" s="54" t="str">
        <f t="shared" si="6"/>
        <v> </v>
      </c>
      <c r="AM24" s="54" t="str">
        <f t="shared" si="6"/>
        <v> </v>
      </c>
      <c r="AN24" s="54" t="str">
        <f t="shared" si="6"/>
        <v> </v>
      </c>
      <c r="AO24" s="54" t="str">
        <f t="shared" si="6"/>
        <v> </v>
      </c>
      <c r="AP24" s="54" t="str">
        <f t="shared" si="6"/>
        <v> </v>
      </c>
      <c r="AQ24" s="54" t="str">
        <f t="shared" si="6"/>
        <v> </v>
      </c>
      <c r="AR24" s="54" t="str">
        <f t="shared" si="6"/>
        <v> </v>
      </c>
      <c r="AS24" s="54" t="str">
        <f t="shared" si="6"/>
        <v> </v>
      </c>
      <c r="AT24" s="54" t="str">
        <f t="shared" si="6"/>
        <v> </v>
      </c>
      <c r="AV24" s="51"/>
      <c r="BF24" s="51">
        <f>IF(COUNTIF($B$24:$AT$24,"NAPAKA 1")&gt;0,"NAPAKA 1","")</f>
      </c>
    </row>
    <row r="25" spans="1:58" ht="13.5" customHeight="1" hidden="1">
      <c r="A25" s="5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BF25" s="51">
        <f>IF(COUNTIF($AU$12:$AU$21,"NAPAKA 3")&gt;0,"NAPAKA 3","")</f>
      </c>
    </row>
    <row r="26" spans="2:58" ht="14.25" hidden="1">
      <c r="B26" s="55">
        <f>B34-((ROWS(B36:B44)-COUNTIF(B36:B44,"&lt;&gt;"&amp;"*"))-COUNTIF(B36:B44,""))</f>
        <v>0</v>
      </c>
      <c r="C26" s="3">
        <f aca="true" t="shared" si="7" ref="C26:AT26">C34-((ROWS(C36:C44)-COUNTIF(C36:C44,"&lt;&gt;"&amp;"*"))-COUNTIF(C36:C44,""))</f>
        <v>0</v>
      </c>
      <c r="D26" s="3">
        <f t="shared" si="7"/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3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3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  <c r="AN26" s="3">
        <f t="shared" si="7"/>
        <v>0</v>
      </c>
      <c r="AO26" s="3">
        <f t="shared" si="7"/>
        <v>0</v>
      </c>
      <c r="AP26" s="3">
        <f t="shared" si="7"/>
        <v>0</v>
      </c>
      <c r="AQ26" s="3">
        <f t="shared" si="7"/>
        <v>0</v>
      </c>
      <c r="AR26" s="3">
        <f t="shared" si="7"/>
        <v>0</v>
      </c>
      <c r="AS26" s="3">
        <f t="shared" si="7"/>
        <v>0</v>
      </c>
      <c r="AT26" s="3">
        <f t="shared" si="7"/>
        <v>0</v>
      </c>
      <c r="AV26" s="55"/>
      <c r="BF26" s="55">
        <f>SUM(B26:AT26)</f>
        <v>0</v>
      </c>
    </row>
    <row r="27" spans="1:46" ht="13.5" customHeight="1" hidden="1">
      <c r="A27" s="52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ht="13.5" customHeight="1">
      <c r="A28" s="5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ht="13.5" customHeight="1">
      <c r="A29" s="57">
        <f>IF(BF26=0,"",IF(BF24&lt;&gt;"","NAPAKA: V stolpcu z oznako NAPAKA 1 ena izmed skupin ni vnesena pod pravi razred oziroma je oznaka skupine napačna. POPRAVITE !",""))</f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1:46" ht="13.5" customHeight="1">
      <c r="A30" s="57">
        <f>IF(BF26=0,"",IF(AND(C68="",F68="",H68="",J68="",M68="",O68="",Q68="",T68="",V68=""),"","NAPAKA: Pri razredu oziroma kombinaciji razredov kjer se pojavi NAPAKA 2 ste v urnik vpisali premalo oziroma preveč ur glede na dovoljeno število ur in prijavljeno število vadbenih skupin. POPRAVITE !"))</f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46" ht="13.5" customHeight="1">
      <c r="A31" s="57">
        <f>IF(BF26=0,"",IF(BF25="","","NAPAKA: V vrstici z oznako NAPAKA 3 ste v enem izmed dni v tednu pod isto uro vpisali dve vadbeni skupini. POPRAVITE !"))</f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1:46" ht="13.5" customHeight="1">
      <c r="A32" s="5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1:46" ht="13.5" customHeight="1" hidden="1">
      <c r="A33" s="52" t="s">
        <v>232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8" customFormat="1" ht="14.25" customHeight="1" hidden="1">
      <c r="B34" s="59">
        <f>COUNTIF(B$12:B$21,"*")</f>
        <v>0</v>
      </c>
      <c r="C34" s="59">
        <f>COUNTIF(C$12:C$21,"*")</f>
        <v>0</v>
      </c>
      <c r="D34" s="59">
        <f aca="true" t="shared" si="8" ref="D34:AT34">COUNTIF(D$12:D$21,"*")</f>
        <v>0</v>
      </c>
      <c r="E34" s="59">
        <f t="shared" si="8"/>
        <v>0</v>
      </c>
      <c r="F34" s="59">
        <f t="shared" si="8"/>
        <v>0</v>
      </c>
      <c r="G34" s="59">
        <f t="shared" si="8"/>
        <v>0</v>
      </c>
      <c r="H34" s="59">
        <f t="shared" si="8"/>
        <v>0</v>
      </c>
      <c r="I34" s="59">
        <f t="shared" si="8"/>
        <v>0</v>
      </c>
      <c r="J34" s="59">
        <f t="shared" si="8"/>
        <v>0</v>
      </c>
      <c r="K34" s="59">
        <f t="shared" si="8"/>
        <v>0</v>
      </c>
      <c r="L34" s="59">
        <f t="shared" si="8"/>
        <v>0</v>
      </c>
      <c r="M34" s="59">
        <f t="shared" si="8"/>
        <v>0</v>
      </c>
      <c r="N34" s="59">
        <f t="shared" si="8"/>
        <v>0</v>
      </c>
      <c r="O34" s="59">
        <f t="shared" si="8"/>
        <v>0</v>
      </c>
      <c r="P34" s="59">
        <f t="shared" si="8"/>
        <v>0</v>
      </c>
      <c r="Q34" s="59">
        <f t="shared" si="8"/>
        <v>0</v>
      </c>
      <c r="R34" s="59">
        <f t="shared" si="8"/>
        <v>0</v>
      </c>
      <c r="S34" s="59">
        <f t="shared" si="8"/>
        <v>0</v>
      </c>
      <c r="T34" s="59">
        <f t="shared" si="8"/>
        <v>0</v>
      </c>
      <c r="U34" s="59">
        <f t="shared" si="8"/>
        <v>0</v>
      </c>
      <c r="V34" s="59">
        <f t="shared" si="8"/>
        <v>0</v>
      </c>
      <c r="W34" s="59">
        <f t="shared" si="8"/>
        <v>0</v>
      </c>
      <c r="X34" s="59">
        <f t="shared" si="8"/>
        <v>0</v>
      </c>
      <c r="Y34" s="59">
        <f t="shared" si="8"/>
        <v>0</v>
      </c>
      <c r="Z34" s="59">
        <f t="shared" si="8"/>
        <v>0</v>
      </c>
      <c r="AA34" s="59">
        <f t="shared" si="8"/>
        <v>0</v>
      </c>
      <c r="AB34" s="59">
        <f t="shared" si="8"/>
        <v>0</v>
      </c>
      <c r="AC34" s="59">
        <f t="shared" si="8"/>
        <v>0</v>
      </c>
      <c r="AD34" s="59">
        <f t="shared" si="8"/>
        <v>0</v>
      </c>
      <c r="AE34" s="59">
        <f t="shared" si="8"/>
        <v>0</v>
      </c>
      <c r="AF34" s="59">
        <f t="shared" si="8"/>
        <v>0</v>
      </c>
      <c r="AG34" s="59">
        <f t="shared" si="8"/>
        <v>0</v>
      </c>
      <c r="AH34" s="59">
        <f t="shared" si="8"/>
        <v>0</v>
      </c>
      <c r="AI34" s="59">
        <f t="shared" si="8"/>
        <v>0</v>
      </c>
      <c r="AJ34" s="59">
        <f t="shared" si="8"/>
        <v>0</v>
      </c>
      <c r="AK34" s="59">
        <f t="shared" si="8"/>
        <v>0</v>
      </c>
      <c r="AL34" s="59">
        <f t="shared" si="8"/>
        <v>0</v>
      </c>
      <c r="AM34" s="59">
        <f t="shared" si="8"/>
        <v>0</v>
      </c>
      <c r="AN34" s="59">
        <f t="shared" si="8"/>
        <v>0</v>
      </c>
      <c r="AO34" s="59">
        <f t="shared" si="8"/>
        <v>0</v>
      </c>
      <c r="AP34" s="59">
        <f t="shared" si="8"/>
        <v>0</v>
      </c>
      <c r="AQ34" s="59">
        <f t="shared" si="8"/>
        <v>0</v>
      </c>
      <c r="AR34" s="59">
        <f t="shared" si="8"/>
        <v>0</v>
      </c>
      <c r="AS34" s="59">
        <f t="shared" si="8"/>
        <v>0</v>
      </c>
      <c r="AT34" s="59">
        <f t="shared" si="8"/>
        <v>0</v>
      </c>
    </row>
    <row r="35" ht="14.25" hidden="1"/>
    <row r="36" spans="2:46" ht="14.25" hidden="1">
      <c r="B36" s="3">
        <f aca="true" t="shared" si="9" ref="B36:AT36">IF(OR(B12=B13,B12=B14,B12=B15,B12=B16,B12=B17,B12=B18,B12=B19,B12=B20,B12=B21),B12,"")</f>
        <v>0</v>
      </c>
      <c r="C36" s="3">
        <f t="shared" si="9"/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0</v>
      </c>
      <c r="P36" s="3">
        <f t="shared" si="9"/>
        <v>0</v>
      </c>
      <c r="Q36" s="3">
        <f t="shared" si="9"/>
        <v>0</v>
      </c>
      <c r="R36" s="3">
        <f t="shared" si="9"/>
        <v>0</v>
      </c>
      <c r="S36" s="3">
        <f t="shared" si="9"/>
        <v>0</v>
      </c>
      <c r="T36" s="3">
        <f t="shared" si="9"/>
        <v>0</v>
      </c>
      <c r="U36" s="3">
        <f t="shared" si="9"/>
        <v>0</v>
      </c>
      <c r="V36" s="3">
        <f t="shared" si="9"/>
        <v>0</v>
      </c>
      <c r="W36" s="3">
        <f t="shared" si="9"/>
        <v>0</v>
      </c>
      <c r="X36" s="3">
        <f t="shared" si="9"/>
        <v>0</v>
      </c>
      <c r="Y36" s="3">
        <f t="shared" si="9"/>
        <v>0</v>
      </c>
      <c r="Z36" s="3">
        <f t="shared" si="9"/>
        <v>0</v>
      </c>
      <c r="AA36" s="3">
        <f t="shared" si="9"/>
        <v>0</v>
      </c>
      <c r="AB36" s="3">
        <f t="shared" si="9"/>
        <v>0</v>
      </c>
      <c r="AC36" s="3">
        <f t="shared" si="9"/>
        <v>0</v>
      </c>
      <c r="AD36" s="3">
        <f t="shared" si="9"/>
        <v>0</v>
      </c>
      <c r="AE36" s="3">
        <f t="shared" si="9"/>
        <v>0</v>
      </c>
      <c r="AF36" s="3">
        <f t="shared" si="9"/>
        <v>0</v>
      </c>
      <c r="AG36" s="3">
        <f t="shared" si="9"/>
        <v>0</v>
      </c>
      <c r="AH36" s="3">
        <f t="shared" si="9"/>
        <v>0</v>
      </c>
      <c r="AI36" s="3">
        <f t="shared" si="9"/>
        <v>0</v>
      </c>
      <c r="AJ36" s="3">
        <f t="shared" si="9"/>
        <v>0</v>
      </c>
      <c r="AK36" s="3">
        <f t="shared" si="9"/>
        <v>0</v>
      </c>
      <c r="AL36" s="3">
        <f t="shared" si="9"/>
        <v>0</v>
      </c>
      <c r="AM36" s="3">
        <f t="shared" si="9"/>
        <v>0</v>
      </c>
      <c r="AN36" s="3">
        <f t="shared" si="9"/>
        <v>0</v>
      </c>
      <c r="AO36" s="3">
        <f t="shared" si="9"/>
        <v>0</v>
      </c>
      <c r="AP36" s="3">
        <f t="shared" si="9"/>
        <v>0</v>
      </c>
      <c r="AQ36" s="3">
        <f t="shared" si="9"/>
        <v>0</v>
      </c>
      <c r="AR36" s="3">
        <f t="shared" si="9"/>
        <v>0</v>
      </c>
      <c r="AS36" s="3">
        <f t="shared" si="9"/>
        <v>0</v>
      </c>
      <c r="AT36" s="3">
        <f t="shared" si="9"/>
        <v>0</v>
      </c>
    </row>
    <row r="37" spans="2:46" ht="14.25" hidden="1">
      <c r="B37" s="3">
        <f aca="true" t="shared" si="10" ref="B37:AT37">IF(OR(B13=B14,B13=B15,B13=B16,B13=B17,B13=B18,B13=B19,B13=B20,B13=B21),B13,"")</f>
        <v>0</v>
      </c>
      <c r="C37" s="3">
        <f t="shared" si="10"/>
        <v>0</v>
      </c>
      <c r="D37" s="3">
        <f t="shared" si="10"/>
        <v>0</v>
      </c>
      <c r="E37" s="3">
        <f t="shared" si="10"/>
        <v>0</v>
      </c>
      <c r="F37" s="3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3">
        <f t="shared" si="10"/>
        <v>0</v>
      </c>
      <c r="K37" s="3">
        <f t="shared" si="10"/>
        <v>0</v>
      </c>
      <c r="L37" s="3">
        <f t="shared" si="10"/>
        <v>0</v>
      </c>
      <c r="M37" s="3">
        <f t="shared" si="10"/>
        <v>0</v>
      </c>
      <c r="N37" s="3">
        <f t="shared" si="10"/>
        <v>0</v>
      </c>
      <c r="O37" s="3">
        <f t="shared" si="10"/>
        <v>0</v>
      </c>
      <c r="P37" s="3">
        <f t="shared" si="10"/>
        <v>0</v>
      </c>
      <c r="Q37" s="3">
        <f t="shared" si="10"/>
        <v>0</v>
      </c>
      <c r="R37" s="3">
        <f t="shared" si="10"/>
        <v>0</v>
      </c>
      <c r="S37" s="3">
        <f t="shared" si="10"/>
        <v>0</v>
      </c>
      <c r="T37" s="3">
        <f t="shared" si="10"/>
        <v>0</v>
      </c>
      <c r="U37" s="3">
        <f t="shared" si="10"/>
        <v>0</v>
      </c>
      <c r="V37" s="3">
        <f t="shared" si="10"/>
        <v>0</v>
      </c>
      <c r="W37" s="3">
        <f t="shared" si="10"/>
        <v>0</v>
      </c>
      <c r="X37" s="3">
        <f t="shared" si="10"/>
        <v>0</v>
      </c>
      <c r="Y37" s="3">
        <f t="shared" si="10"/>
        <v>0</v>
      </c>
      <c r="Z37" s="3">
        <f t="shared" si="10"/>
        <v>0</v>
      </c>
      <c r="AA37" s="3">
        <f t="shared" si="10"/>
        <v>0</v>
      </c>
      <c r="AB37" s="3">
        <f t="shared" si="10"/>
        <v>0</v>
      </c>
      <c r="AC37" s="3">
        <f t="shared" si="10"/>
        <v>0</v>
      </c>
      <c r="AD37" s="3">
        <f t="shared" si="10"/>
        <v>0</v>
      </c>
      <c r="AE37" s="3">
        <f t="shared" si="10"/>
        <v>0</v>
      </c>
      <c r="AF37" s="3">
        <f t="shared" si="10"/>
        <v>0</v>
      </c>
      <c r="AG37" s="3">
        <f t="shared" si="10"/>
        <v>0</v>
      </c>
      <c r="AH37" s="3">
        <f t="shared" si="10"/>
        <v>0</v>
      </c>
      <c r="AI37" s="3">
        <f t="shared" si="10"/>
        <v>0</v>
      </c>
      <c r="AJ37" s="3">
        <f t="shared" si="10"/>
        <v>0</v>
      </c>
      <c r="AK37" s="3">
        <f t="shared" si="10"/>
        <v>0</v>
      </c>
      <c r="AL37" s="3">
        <f t="shared" si="10"/>
        <v>0</v>
      </c>
      <c r="AM37" s="3">
        <f t="shared" si="10"/>
        <v>0</v>
      </c>
      <c r="AN37" s="3">
        <f t="shared" si="10"/>
        <v>0</v>
      </c>
      <c r="AO37" s="3">
        <f t="shared" si="10"/>
        <v>0</v>
      </c>
      <c r="AP37" s="3">
        <f t="shared" si="10"/>
        <v>0</v>
      </c>
      <c r="AQ37" s="3">
        <f t="shared" si="10"/>
        <v>0</v>
      </c>
      <c r="AR37" s="3">
        <f t="shared" si="10"/>
        <v>0</v>
      </c>
      <c r="AS37" s="3">
        <f t="shared" si="10"/>
        <v>0</v>
      </c>
      <c r="AT37" s="3">
        <f t="shared" si="10"/>
        <v>0</v>
      </c>
    </row>
    <row r="38" spans="2:46" ht="14.25" hidden="1">
      <c r="B38" s="3">
        <f aca="true" t="shared" si="11" ref="B38:AT38">IF(OR(B14=B15,B14=B16,B14=B17,B14=B18,B14=B19,B14=B20,B14=B21),B14,"")</f>
        <v>0</v>
      </c>
      <c r="C38" s="3">
        <f t="shared" si="11"/>
        <v>0</v>
      </c>
      <c r="D38" s="3">
        <f t="shared" si="11"/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3">
        <f t="shared" si="11"/>
        <v>0</v>
      </c>
      <c r="K38" s="3">
        <f t="shared" si="11"/>
        <v>0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 t="shared" si="11"/>
        <v>0</v>
      </c>
      <c r="Q38" s="3">
        <f t="shared" si="11"/>
        <v>0</v>
      </c>
      <c r="R38" s="3">
        <f t="shared" si="11"/>
        <v>0</v>
      </c>
      <c r="S38" s="3">
        <f t="shared" si="11"/>
        <v>0</v>
      </c>
      <c r="T38" s="3">
        <f t="shared" si="11"/>
        <v>0</v>
      </c>
      <c r="U38" s="3">
        <f t="shared" si="11"/>
        <v>0</v>
      </c>
      <c r="V38" s="3">
        <f t="shared" si="11"/>
        <v>0</v>
      </c>
      <c r="W38" s="3">
        <f t="shared" si="11"/>
        <v>0</v>
      </c>
      <c r="X38" s="3">
        <f t="shared" si="11"/>
        <v>0</v>
      </c>
      <c r="Y38" s="3">
        <f t="shared" si="11"/>
        <v>0</v>
      </c>
      <c r="Z38" s="3">
        <f t="shared" si="11"/>
        <v>0</v>
      </c>
      <c r="AA38" s="3">
        <f t="shared" si="11"/>
        <v>0</v>
      </c>
      <c r="AB38" s="3">
        <f t="shared" si="11"/>
        <v>0</v>
      </c>
      <c r="AC38" s="3">
        <f t="shared" si="11"/>
        <v>0</v>
      </c>
      <c r="AD38" s="3">
        <f t="shared" si="11"/>
        <v>0</v>
      </c>
      <c r="AE38" s="3">
        <f t="shared" si="11"/>
        <v>0</v>
      </c>
      <c r="AF38" s="3">
        <f t="shared" si="11"/>
        <v>0</v>
      </c>
      <c r="AG38" s="3">
        <f t="shared" si="11"/>
        <v>0</v>
      </c>
      <c r="AH38" s="3">
        <f t="shared" si="11"/>
        <v>0</v>
      </c>
      <c r="AI38" s="3">
        <f t="shared" si="11"/>
        <v>0</v>
      </c>
      <c r="AJ38" s="3">
        <f t="shared" si="11"/>
        <v>0</v>
      </c>
      <c r="AK38" s="3">
        <f t="shared" si="11"/>
        <v>0</v>
      </c>
      <c r="AL38" s="3">
        <f t="shared" si="11"/>
        <v>0</v>
      </c>
      <c r="AM38" s="3">
        <f t="shared" si="11"/>
        <v>0</v>
      </c>
      <c r="AN38" s="3">
        <f t="shared" si="11"/>
        <v>0</v>
      </c>
      <c r="AO38" s="3">
        <f t="shared" si="11"/>
        <v>0</v>
      </c>
      <c r="AP38" s="3">
        <f t="shared" si="11"/>
        <v>0</v>
      </c>
      <c r="AQ38" s="3">
        <f t="shared" si="11"/>
        <v>0</v>
      </c>
      <c r="AR38" s="3">
        <f t="shared" si="11"/>
        <v>0</v>
      </c>
      <c r="AS38" s="3">
        <f t="shared" si="11"/>
        <v>0</v>
      </c>
      <c r="AT38" s="3">
        <f t="shared" si="11"/>
        <v>0</v>
      </c>
    </row>
    <row r="39" spans="2:46" ht="14.25" hidden="1">
      <c r="B39" s="3">
        <f aca="true" t="shared" si="12" ref="B39:AT39">IF(OR(B15=B16,B15=B17,B15=B18,B15=B19,B15=B20,B15=B21),B15,"")</f>
        <v>0</v>
      </c>
      <c r="C39" s="3">
        <f t="shared" si="12"/>
        <v>0</v>
      </c>
      <c r="D39" s="3">
        <f t="shared" si="12"/>
        <v>0</v>
      </c>
      <c r="E39" s="3">
        <f t="shared" si="12"/>
        <v>0</v>
      </c>
      <c r="F39" s="3">
        <f t="shared" si="12"/>
        <v>0</v>
      </c>
      <c r="G39" s="3">
        <f t="shared" si="12"/>
        <v>0</v>
      </c>
      <c r="H39" s="3">
        <f t="shared" si="12"/>
        <v>0</v>
      </c>
      <c r="I39" s="3">
        <f t="shared" si="12"/>
        <v>0</v>
      </c>
      <c r="J39" s="3">
        <f t="shared" si="12"/>
        <v>0</v>
      </c>
      <c r="K39" s="3">
        <f t="shared" si="12"/>
        <v>0</v>
      </c>
      <c r="L39" s="3">
        <f t="shared" si="12"/>
        <v>0</v>
      </c>
      <c r="M39" s="3">
        <f t="shared" si="12"/>
        <v>0</v>
      </c>
      <c r="N39" s="3">
        <f t="shared" si="12"/>
        <v>0</v>
      </c>
      <c r="O39" s="3">
        <f t="shared" si="12"/>
        <v>0</v>
      </c>
      <c r="P39" s="3">
        <f t="shared" si="12"/>
        <v>0</v>
      </c>
      <c r="Q39" s="3">
        <f t="shared" si="12"/>
        <v>0</v>
      </c>
      <c r="R39" s="3">
        <f t="shared" si="12"/>
        <v>0</v>
      </c>
      <c r="S39" s="3">
        <f t="shared" si="12"/>
        <v>0</v>
      </c>
      <c r="T39" s="3">
        <f t="shared" si="12"/>
        <v>0</v>
      </c>
      <c r="U39" s="3">
        <f t="shared" si="12"/>
        <v>0</v>
      </c>
      <c r="V39" s="3">
        <f t="shared" si="12"/>
        <v>0</v>
      </c>
      <c r="W39" s="3">
        <f t="shared" si="12"/>
        <v>0</v>
      </c>
      <c r="X39" s="3">
        <f t="shared" si="12"/>
        <v>0</v>
      </c>
      <c r="Y39" s="3">
        <f t="shared" si="12"/>
        <v>0</v>
      </c>
      <c r="Z39" s="3">
        <f t="shared" si="12"/>
        <v>0</v>
      </c>
      <c r="AA39" s="3">
        <f t="shared" si="12"/>
        <v>0</v>
      </c>
      <c r="AB39" s="3">
        <f t="shared" si="12"/>
        <v>0</v>
      </c>
      <c r="AC39" s="3">
        <f t="shared" si="12"/>
        <v>0</v>
      </c>
      <c r="AD39" s="3">
        <f t="shared" si="12"/>
        <v>0</v>
      </c>
      <c r="AE39" s="3">
        <f t="shared" si="12"/>
        <v>0</v>
      </c>
      <c r="AF39" s="3">
        <f t="shared" si="12"/>
        <v>0</v>
      </c>
      <c r="AG39" s="3">
        <f t="shared" si="12"/>
        <v>0</v>
      </c>
      <c r="AH39" s="3">
        <f t="shared" si="12"/>
        <v>0</v>
      </c>
      <c r="AI39" s="3">
        <f t="shared" si="12"/>
        <v>0</v>
      </c>
      <c r="AJ39" s="3">
        <f t="shared" si="12"/>
        <v>0</v>
      </c>
      <c r="AK39" s="3">
        <f t="shared" si="12"/>
        <v>0</v>
      </c>
      <c r="AL39" s="3">
        <f t="shared" si="12"/>
        <v>0</v>
      </c>
      <c r="AM39" s="3">
        <f t="shared" si="12"/>
        <v>0</v>
      </c>
      <c r="AN39" s="3">
        <f t="shared" si="12"/>
        <v>0</v>
      </c>
      <c r="AO39" s="3">
        <f t="shared" si="12"/>
        <v>0</v>
      </c>
      <c r="AP39" s="3">
        <f t="shared" si="12"/>
        <v>0</v>
      </c>
      <c r="AQ39" s="3">
        <f t="shared" si="12"/>
        <v>0</v>
      </c>
      <c r="AR39" s="3">
        <f t="shared" si="12"/>
        <v>0</v>
      </c>
      <c r="AS39" s="3">
        <f t="shared" si="12"/>
        <v>0</v>
      </c>
      <c r="AT39" s="3">
        <f t="shared" si="12"/>
        <v>0</v>
      </c>
    </row>
    <row r="40" spans="2:46" ht="14.25" hidden="1">
      <c r="B40" s="3">
        <f aca="true" t="shared" si="13" ref="B40:AT40">IF(OR(B16=B17,B16=B18,B16=B19,B16=B20,B16=B21),B16,"")</f>
        <v>0</v>
      </c>
      <c r="C40" s="3">
        <f t="shared" si="13"/>
        <v>0</v>
      </c>
      <c r="D40" s="3">
        <f t="shared" si="13"/>
        <v>0</v>
      </c>
      <c r="E40" s="3">
        <f t="shared" si="13"/>
        <v>0</v>
      </c>
      <c r="F40" s="3">
        <f t="shared" si="13"/>
        <v>0</v>
      </c>
      <c r="G40" s="3">
        <f t="shared" si="13"/>
        <v>0</v>
      </c>
      <c r="H40" s="3">
        <f t="shared" si="13"/>
        <v>0</v>
      </c>
      <c r="I40" s="3">
        <f t="shared" si="13"/>
        <v>0</v>
      </c>
      <c r="J40" s="3">
        <f t="shared" si="13"/>
        <v>0</v>
      </c>
      <c r="K40" s="3">
        <f t="shared" si="13"/>
        <v>0</v>
      </c>
      <c r="L40" s="3">
        <f t="shared" si="13"/>
        <v>0</v>
      </c>
      <c r="M40" s="3">
        <f t="shared" si="13"/>
        <v>0</v>
      </c>
      <c r="N40" s="3">
        <f t="shared" si="13"/>
        <v>0</v>
      </c>
      <c r="O40" s="3">
        <f t="shared" si="13"/>
        <v>0</v>
      </c>
      <c r="P40" s="3">
        <f t="shared" si="13"/>
        <v>0</v>
      </c>
      <c r="Q40" s="3">
        <f t="shared" si="13"/>
        <v>0</v>
      </c>
      <c r="R40" s="3">
        <f t="shared" si="13"/>
        <v>0</v>
      </c>
      <c r="S40" s="3">
        <f t="shared" si="13"/>
        <v>0</v>
      </c>
      <c r="T40" s="3">
        <f t="shared" si="13"/>
        <v>0</v>
      </c>
      <c r="U40" s="3">
        <f t="shared" si="13"/>
        <v>0</v>
      </c>
      <c r="V40" s="3">
        <f t="shared" si="13"/>
        <v>0</v>
      </c>
      <c r="W40" s="3">
        <f t="shared" si="13"/>
        <v>0</v>
      </c>
      <c r="X40" s="3">
        <f t="shared" si="13"/>
        <v>0</v>
      </c>
      <c r="Y40" s="3">
        <f t="shared" si="13"/>
        <v>0</v>
      </c>
      <c r="Z40" s="3">
        <f t="shared" si="13"/>
        <v>0</v>
      </c>
      <c r="AA40" s="3">
        <f t="shared" si="13"/>
        <v>0</v>
      </c>
      <c r="AB40" s="3">
        <f t="shared" si="13"/>
        <v>0</v>
      </c>
      <c r="AC40" s="3">
        <f t="shared" si="13"/>
        <v>0</v>
      </c>
      <c r="AD40" s="3">
        <f t="shared" si="13"/>
        <v>0</v>
      </c>
      <c r="AE40" s="3">
        <f t="shared" si="13"/>
        <v>0</v>
      </c>
      <c r="AF40" s="3">
        <f t="shared" si="13"/>
        <v>0</v>
      </c>
      <c r="AG40" s="3">
        <f t="shared" si="13"/>
        <v>0</v>
      </c>
      <c r="AH40" s="3">
        <f t="shared" si="13"/>
        <v>0</v>
      </c>
      <c r="AI40" s="3">
        <f t="shared" si="13"/>
        <v>0</v>
      </c>
      <c r="AJ40" s="3">
        <f t="shared" si="13"/>
        <v>0</v>
      </c>
      <c r="AK40" s="3">
        <f t="shared" si="13"/>
        <v>0</v>
      </c>
      <c r="AL40" s="3">
        <f t="shared" si="13"/>
        <v>0</v>
      </c>
      <c r="AM40" s="3">
        <f t="shared" si="13"/>
        <v>0</v>
      </c>
      <c r="AN40" s="3">
        <f t="shared" si="13"/>
        <v>0</v>
      </c>
      <c r="AO40" s="3">
        <f t="shared" si="13"/>
        <v>0</v>
      </c>
      <c r="AP40" s="3">
        <f t="shared" si="13"/>
        <v>0</v>
      </c>
      <c r="AQ40" s="3">
        <f t="shared" si="13"/>
        <v>0</v>
      </c>
      <c r="AR40" s="3">
        <f t="shared" si="13"/>
        <v>0</v>
      </c>
      <c r="AS40" s="3">
        <f t="shared" si="13"/>
        <v>0</v>
      </c>
      <c r="AT40" s="3">
        <f t="shared" si="13"/>
        <v>0</v>
      </c>
    </row>
    <row r="41" spans="2:46" ht="14.25" hidden="1">
      <c r="B41" s="3">
        <f aca="true" t="shared" si="14" ref="B41:AT41">IF(OR(B17=B18,B17=B19,B17=B20,B17=B21),B17,"")</f>
        <v>0</v>
      </c>
      <c r="C41" s="3">
        <f t="shared" si="14"/>
        <v>0</v>
      </c>
      <c r="D41" s="3">
        <f t="shared" si="14"/>
        <v>0</v>
      </c>
      <c r="E41" s="3">
        <f t="shared" si="14"/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3">
        <f t="shared" si="14"/>
        <v>0</v>
      </c>
      <c r="K41" s="3">
        <f t="shared" si="14"/>
        <v>0</v>
      </c>
      <c r="L41" s="3">
        <f t="shared" si="14"/>
        <v>0</v>
      </c>
      <c r="M41" s="3">
        <f t="shared" si="14"/>
        <v>0</v>
      </c>
      <c r="N41" s="3">
        <f t="shared" si="14"/>
        <v>0</v>
      </c>
      <c r="O41" s="3">
        <f t="shared" si="14"/>
        <v>0</v>
      </c>
      <c r="P41" s="3">
        <f t="shared" si="14"/>
        <v>0</v>
      </c>
      <c r="Q41" s="3">
        <f t="shared" si="14"/>
        <v>0</v>
      </c>
      <c r="R41" s="3">
        <f t="shared" si="14"/>
        <v>0</v>
      </c>
      <c r="S41" s="3">
        <f t="shared" si="14"/>
        <v>0</v>
      </c>
      <c r="T41" s="3">
        <f t="shared" si="14"/>
        <v>0</v>
      </c>
      <c r="U41" s="3">
        <f t="shared" si="14"/>
        <v>0</v>
      </c>
      <c r="V41" s="3">
        <f t="shared" si="14"/>
        <v>0</v>
      </c>
      <c r="W41" s="3">
        <f t="shared" si="14"/>
        <v>0</v>
      </c>
      <c r="X41" s="3">
        <f t="shared" si="14"/>
        <v>0</v>
      </c>
      <c r="Y41" s="3">
        <f t="shared" si="14"/>
        <v>0</v>
      </c>
      <c r="Z41" s="3">
        <f t="shared" si="14"/>
        <v>0</v>
      </c>
      <c r="AA41" s="3">
        <f t="shared" si="14"/>
        <v>0</v>
      </c>
      <c r="AB41" s="3">
        <f t="shared" si="14"/>
        <v>0</v>
      </c>
      <c r="AC41" s="3">
        <f t="shared" si="14"/>
        <v>0</v>
      </c>
      <c r="AD41" s="3">
        <f t="shared" si="14"/>
        <v>0</v>
      </c>
      <c r="AE41" s="3">
        <f t="shared" si="14"/>
        <v>0</v>
      </c>
      <c r="AF41" s="3">
        <f t="shared" si="14"/>
        <v>0</v>
      </c>
      <c r="AG41" s="3">
        <f t="shared" si="14"/>
        <v>0</v>
      </c>
      <c r="AH41" s="3">
        <f t="shared" si="14"/>
        <v>0</v>
      </c>
      <c r="AI41" s="3">
        <f t="shared" si="14"/>
        <v>0</v>
      </c>
      <c r="AJ41" s="3">
        <f t="shared" si="14"/>
        <v>0</v>
      </c>
      <c r="AK41" s="3">
        <f t="shared" si="14"/>
        <v>0</v>
      </c>
      <c r="AL41" s="3">
        <f t="shared" si="14"/>
        <v>0</v>
      </c>
      <c r="AM41" s="3">
        <f t="shared" si="14"/>
        <v>0</v>
      </c>
      <c r="AN41" s="3">
        <f t="shared" si="14"/>
        <v>0</v>
      </c>
      <c r="AO41" s="3">
        <f t="shared" si="14"/>
        <v>0</v>
      </c>
      <c r="AP41" s="3">
        <f t="shared" si="14"/>
        <v>0</v>
      </c>
      <c r="AQ41" s="3">
        <f t="shared" si="14"/>
        <v>0</v>
      </c>
      <c r="AR41" s="3">
        <f t="shared" si="14"/>
        <v>0</v>
      </c>
      <c r="AS41" s="3">
        <f t="shared" si="14"/>
        <v>0</v>
      </c>
      <c r="AT41" s="3">
        <f t="shared" si="14"/>
        <v>0</v>
      </c>
    </row>
    <row r="42" spans="2:46" ht="14.25" hidden="1">
      <c r="B42" s="3">
        <f aca="true" t="shared" si="15" ref="B42:AT42">IF(OR(B18=B19,B18=B20,B18=B21),B18,"")</f>
        <v>0</v>
      </c>
      <c r="C42" s="3">
        <f t="shared" si="15"/>
        <v>0</v>
      </c>
      <c r="D42" s="3">
        <f t="shared" si="15"/>
        <v>0</v>
      </c>
      <c r="E42" s="3">
        <f t="shared" si="15"/>
        <v>0</v>
      </c>
      <c r="F42" s="3">
        <f t="shared" si="15"/>
        <v>0</v>
      </c>
      <c r="G42" s="3">
        <f t="shared" si="15"/>
        <v>0</v>
      </c>
      <c r="H42" s="3">
        <f t="shared" si="15"/>
        <v>0</v>
      </c>
      <c r="I42" s="3">
        <f t="shared" si="15"/>
        <v>0</v>
      </c>
      <c r="J42" s="3">
        <f t="shared" si="15"/>
        <v>0</v>
      </c>
      <c r="K42" s="3">
        <f t="shared" si="15"/>
        <v>0</v>
      </c>
      <c r="L42" s="3">
        <f t="shared" si="15"/>
        <v>0</v>
      </c>
      <c r="M42" s="3">
        <f t="shared" si="15"/>
        <v>0</v>
      </c>
      <c r="N42" s="3">
        <f t="shared" si="15"/>
        <v>0</v>
      </c>
      <c r="O42" s="3">
        <f t="shared" si="15"/>
        <v>0</v>
      </c>
      <c r="P42" s="3">
        <f t="shared" si="15"/>
        <v>0</v>
      </c>
      <c r="Q42" s="3">
        <f t="shared" si="15"/>
        <v>0</v>
      </c>
      <c r="R42" s="3">
        <f t="shared" si="15"/>
        <v>0</v>
      </c>
      <c r="S42" s="3">
        <f t="shared" si="15"/>
        <v>0</v>
      </c>
      <c r="T42" s="3">
        <f t="shared" si="15"/>
        <v>0</v>
      </c>
      <c r="U42" s="3">
        <f t="shared" si="15"/>
        <v>0</v>
      </c>
      <c r="V42" s="3">
        <f t="shared" si="15"/>
        <v>0</v>
      </c>
      <c r="W42" s="3">
        <f t="shared" si="15"/>
        <v>0</v>
      </c>
      <c r="X42" s="3">
        <f t="shared" si="15"/>
        <v>0</v>
      </c>
      <c r="Y42" s="3">
        <f t="shared" si="15"/>
        <v>0</v>
      </c>
      <c r="Z42" s="3">
        <f t="shared" si="15"/>
        <v>0</v>
      </c>
      <c r="AA42" s="3">
        <f t="shared" si="15"/>
        <v>0</v>
      </c>
      <c r="AB42" s="3">
        <f t="shared" si="15"/>
        <v>0</v>
      </c>
      <c r="AC42" s="3">
        <f t="shared" si="15"/>
        <v>0</v>
      </c>
      <c r="AD42" s="3">
        <f t="shared" si="15"/>
        <v>0</v>
      </c>
      <c r="AE42" s="3">
        <f t="shared" si="15"/>
        <v>0</v>
      </c>
      <c r="AF42" s="3">
        <f t="shared" si="15"/>
        <v>0</v>
      </c>
      <c r="AG42" s="3">
        <f t="shared" si="15"/>
        <v>0</v>
      </c>
      <c r="AH42" s="3">
        <f t="shared" si="15"/>
        <v>0</v>
      </c>
      <c r="AI42" s="3">
        <f t="shared" si="15"/>
        <v>0</v>
      </c>
      <c r="AJ42" s="3">
        <f t="shared" si="15"/>
        <v>0</v>
      </c>
      <c r="AK42" s="3">
        <f t="shared" si="15"/>
        <v>0</v>
      </c>
      <c r="AL42" s="3">
        <f t="shared" si="15"/>
        <v>0</v>
      </c>
      <c r="AM42" s="3">
        <f t="shared" si="15"/>
        <v>0</v>
      </c>
      <c r="AN42" s="3">
        <f t="shared" si="15"/>
        <v>0</v>
      </c>
      <c r="AO42" s="3">
        <f t="shared" si="15"/>
        <v>0</v>
      </c>
      <c r="AP42" s="3">
        <f t="shared" si="15"/>
        <v>0</v>
      </c>
      <c r="AQ42" s="3">
        <f t="shared" si="15"/>
        <v>0</v>
      </c>
      <c r="AR42" s="3">
        <f t="shared" si="15"/>
        <v>0</v>
      </c>
      <c r="AS42" s="3">
        <f t="shared" si="15"/>
        <v>0</v>
      </c>
      <c r="AT42" s="3">
        <f t="shared" si="15"/>
        <v>0</v>
      </c>
    </row>
    <row r="43" spans="2:46" ht="14.25" hidden="1">
      <c r="B43" s="3">
        <f aca="true" t="shared" si="16" ref="B43:AT43">IF(OR(B19=B20,B19=B21),B19,"")</f>
        <v>0</v>
      </c>
      <c r="C43" s="3">
        <f t="shared" si="16"/>
        <v>0</v>
      </c>
      <c r="D43" s="3">
        <f t="shared" si="16"/>
        <v>0</v>
      </c>
      <c r="E43" s="3">
        <f t="shared" si="16"/>
        <v>0</v>
      </c>
      <c r="F43" s="3">
        <f t="shared" si="16"/>
        <v>0</v>
      </c>
      <c r="G43" s="3">
        <f t="shared" si="16"/>
        <v>0</v>
      </c>
      <c r="H43" s="3">
        <f t="shared" si="16"/>
        <v>0</v>
      </c>
      <c r="I43" s="3">
        <f t="shared" si="16"/>
        <v>0</v>
      </c>
      <c r="J43" s="3">
        <f t="shared" si="16"/>
        <v>0</v>
      </c>
      <c r="K43" s="3">
        <f t="shared" si="16"/>
        <v>0</v>
      </c>
      <c r="L43" s="3">
        <f t="shared" si="16"/>
        <v>0</v>
      </c>
      <c r="M43" s="3">
        <f t="shared" si="16"/>
        <v>0</v>
      </c>
      <c r="N43" s="3">
        <f t="shared" si="16"/>
        <v>0</v>
      </c>
      <c r="O43" s="3">
        <f t="shared" si="16"/>
        <v>0</v>
      </c>
      <c r="P43" s="3">
        <f t="shared" si="16"/>
        <v>0</v>
      </c>
      <c r="Q43" s="3">
        <f t="shared" si="16"/>
        <v>0</v>
      </c>
      <c r="R43" s="3">
        <f t="shared" si="16"/>
        <v>0</v>
      </c>
      <c r="S43" s="3">
        <f t="shared" si="16"/>
        <v>0</v>
      </c>
      <c r="T43" s="3">
        <f t="shared" si="16"/>
        <v>0</v>
      </c>
      <c r="U43" s="3">
        <f t="shared" si="16"/>
        <v>0</v>
      </c>
      <c r="V43" s="3">
        <f t="shared" si="16"/>
        <v>0</v>
      </c>
      <c r="W43" s="3">
        <f t="shared" si="16"/>
        <v>0</v>
      </c>
      <c r="X43" s="3">
        <f t="shared" si="16"/>
        <v>0</v>
      </c>
      <c r="Y43" s="3">
        <f t="shared" si="16"/>
        <v>0</v>
      </c>
      <c r="Z43" s="3">
        <f t="shared" si="16"/>
        <v>0</v>
      </c>
      <c r="AA43" s="3">
        <f t="shared" si="16"/>
        <v>0</v>
      </c>
      <c r="AB43" s="3">
        <f t="shared" si="16"/>
        <v>0</v>
      </c>
      <c r="AC43" s="3">
        <f t="shared" si="16"/>
        <v>0</v>
      </c>
      <c r="AD43" s="3">
        <f t="shared" si="16"/>
        <v>0</v>
      </c>
      <c r="AE43" s="3">
        <f t="shared" si="16"/>
        <v>0</v>
      </c>
      <c r="AF43" s="3">
        <f t="shared" si="16"/>
        <v>0</v>
      </c>
      <c r="AG43" s="3">
        <f t="shared" si="16"/>
        <v>0</v>
      </c>
      <c r="AH43" s="3">
        <f t="shared" si="16"/>
        <v>0</v>
      </c>
      <c r="AI43" s="3">
        <f t="shared" si="16"/>
        <v>0</v>
      </c>
      <c r="AJ43" s="3">
        <f t="shared" si="16"/>
        <v>0</v>
      </c>
      <c r="AK43" s="3">
        <f t="shared" si="16"/>
        <v>0</v>
      </c>
      <c r="AL43" s="3">
        <f t="shared" si="16"/>
        <v>0</v>
      </c>
      <c r="AM43" s="3">
        <f t="shared" si="16"/>
        <v>0</v>
      </c>
      <c r="AN43" s="3">
        <f t="shared" si="16"/>
        <v>0</v>
      </c>
      <c r="AO43" s="3">
        <f t="shared" si="16"/>
        <v>0</v>
      </c>
      <c r="AP43" s="3">
        <f t="shared" si="16"/>
        <v>0</v>
      </c>
      <c r="AQ43" s="3">
        <f t="shared" si="16"/>
        <v>0</v>
      </c>
      <c r="AR43" s="3">
        <f t="shared" si="16"/>
        <v>0</v>
      </c>
      <c r="AS43" s="3">
        <f t="shared" si="16"/>
        <v>0</v>
      </c>
      <c r="AT43" s="3">
        <f t="shared" si="16"/>
        <v>0</v>
      </c>
    </row>
    <row r="44" spans="2:46" ht="14.25" hidden="1">
      <c r="B44" s="3">
        <f aca="true" t="shared" si="17" ref="B44:AT44">IF(OR(B20=B21),B20,"")</f>
        <v>0</v>
      </c>
      <c r="C44" s="3">
        <f t="shared" si="17"/>
        <v>0</v>
      </c>
      <c r="D44" s="3">
        <f t="shared" si="17"/>
        <v>0</v>
      </c>
      <c r="E44" s="3">
        <f t="shared" si="17"/>
        <v>0</v>
      </c>
      <c r="F44" s="3">
        <f t="shared" si="17"/>
        <v>0</v>
      </c>
      <c r="G44" s="3">
        <f t="shared" si="17"/>
        <v>0</v>
      </c>
      <c r="H44" s="3">
        <f t="shared" si="17"/>
        <v>0</v>
      </c>
      <c r="I44" s="3">
        <f t="shared" si="17"/>
        <v>0</v>
      </c>
      <c r="J44" s="3">
        <f t="shared" si="17"/>
        <v>0</v>
      </c>
      <c r="K44" s="3">
        <f t="shared" si="17"/>
        <v>0</v>
      </c>
      <c r="L44" s="3">
        <f t="shared" si="17"/>
        <v>0</v>
      </c>
      <c r="M44" s="3">
        <f t="shared" si="17"/>
        <v>0</v>
      </c>
      <c r="N44" s="3">
        <f t="shared" si="17"/>
        <v>0</v>
      </c>
      <c r="O44" s="3">
        <f t="shared" si="17"/>
        <v>0</v>
      </c>
      <c r="P44" s="3">
        <f t="shared" si="17"/>
        <v>0</v>
      </c>
      <c r="Q44" s="3">
        <f t="shared" si="17"/>
        <v>0</v>
      </c>
      <c r="R44" s="3">
        <f t="shared" si="17"/>
        <v>0</v>
      </c>
      <c r="S44" s="3">
        <f t="shared" si="17"/>
        <v>0</v>
      </c>
      <c r="T44" s="3">
        <f t="shared" si="17"/>
        <v>0</v>
      </c>
      <c r="U44" s="3">
        <f t="shared" si="17"/>
        <v>0</v>
      </c>
      <c r="V44" s="3">
        <f t="shared" si="17"/>
        <v>0</v>
      </c>
      <c r="W44" s="3">
        <f t="shared" si="17"/>
        <v>0</v>
      </c>
      <c r="X44" s="3">
        <f t="shared" si="17"/>
        <v>0</v>
      </c>
      <c r="Y44" s="3">
        <f t="shared" si="17"/>
        <v>0</v>
      </c>
      <c r="Z44" s="3">
        <f t="shared" si="17"/>
        <v>0</v>
      </c>
      <c r="AA44" s="3">
        <f t="shared" si="17"/>
        <v>0</v>
      </c>
      <c r="AB44" s="3">
        <f t="shared" si="17"/>
        <v>0</v>
      </c>
      <c r="AC44" s="3">
        <f t="shared" si="17"/>
        <v>0</v>
      </c>
      <c r="AD44" s="3">
        <f t="shared" si="17"/>
        <v>0</v>
      </c>
      <c r="AE44" s="3">
        <f t="shared" si="17"/>
        <v>0</v>
      </c>
      <c r="AF44" s="3">
        <f t="shared" si="17"/>
        <v>0</v>
      </c>
      <c r="AG44" s="3">
        <f t="shared" si="17"/>
        <v>0</v>
      </c>
      <c r="AH44" s="3">
        <f t="shared" si="17"/>
        <v>0</v>
      </c>
      <c r="AI44" s="3">
        <f t="shared" si="17"/>
        <v>0</v>
      </c>
      <c r="AJ44" s="3">
        <f t="shared" si="17"/>
        <v>0</v>
      </c>
      <c r="AK44" s="3">
        <f t="shared" si="17"/>
        <v>0</v>
      </c>
      <c r="AL44" s="3">
        <f t="shared" si="17"/>
        <v>0</v>
      </c>
      <c r="AM44" s="3">
        <f t="shared" si="17"/>
        <v>0</v>
      </c>
      <c r="AN44" s="3">
        <f t="shared" si="17"/>
        <v>0</v>
      </c>
      <c r="AO44" s="3">
        <f t="shared" si="17"/>
        <v>0</v>
      </c>
      <c r="AP44" s="3">
        <f t="shared" si="17"/>
        <v>0</v>
      </c>
      <c r="AQ44" s="3">
        <f t="shared" si="17"/>
        <v>0</v>
      </c>
      <c r="AR44" s="3">
        <f t="shared" si="17"/>
        <v>0</v>
      </c>
      <c r="AS44" s="3">
        <f t="shared" si="17"/>
        <v>0</v>
      </c>
      <c r="AT44" s="3">
        <f t="shared" si="17"/>
        <v>0</v>
      </c>
    </row>
    <row r="45" spans="1:46" ht="13.5" customHeight="1" hidden="1">
      <c r="A45" s="52" t="s">
        <v>220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</row>
    <row r="46" spans="2:46" ht="14.25" hidden="1">
      <c r="B46" s="4">
        <f aca="true" t="shared" si="18" ref="B46:AT46">IF(B12=0,"",IF(MID(B12,1,1)&lt;&gt;B$11,"NAPAKA",""))</f>
      </c>
      <c r="C46" s="4">
        <f t="shared" si="18"/>
      </c>
      <c r="D46" s="4">
        <f t="shared" si="18"/>
      </c>
      <c r="E46" s="4">
        <f t="shared" si="18"/>
      </c>
      <c r="F46" s="4">
        <f t="shared" si="18"/>
      </c>
      <c r="G46" s="4">
        <f t="shared" si="18"/>
      </c>
      <c r="H46" s="4">
        <f t="shared" si="18"/>
      </c>
      <c r="I46" s="4">
        <f t="shared" si="18"/>
      </c>
      <c r="J46" s="4">
        <f t="shared" si="18"/>
      </c>
      <c r="K46" s="4">
        <f t="shared" si="18"/>
      </c>
      <c r="L46" s="4">
        <f t="shared" si="18"/>
      </c>
      <c r="M46" s="4">
        <f t="shared" si="18"/>
      </c>
      <c r="N46" s="4">
        <f t="shared" si="18"/>
      </c>
      <c r="O46" s="4">
        <f t="shared" si="18"/>
      </c>
      <c r="P46" s="4">
        <f t="shared" si="18"/>
      </c>
      <c r="Q46" s="4">
        <f t="shared" si="18"/>
      </c>
      <c r="R46" s="4">
        <f t="shared" si="18"/>
      </c>
      <c r="S46" s="4">
        <f t="shared" si="18"/>
      </c>
      <c r="T46" s="4">
        <f t="shared" si="18"/>
      </c>
      <c r="U46" s="4">
        <f t="shared" si="18"/>
      </c>
      <c r="V46" s="4">
        <f t="shared" si="18"/>
      </c>
      <c r="W46" s="4">
        <f t="shared" si="18"/>
      </c>
      <c r="X46" s="4">
        <f t="shared" si="18"/>
      </c>
      <c r="Y46" s="4">
        <f t="shared" si="18"/>
      </c>
      <c r="Z46" s="4">
        <f t="shared" si="18"/>
      </c>
      <c r="AA46" s="4">
        <f t="shared" si="18"/>
      </c>
      <c r="AB46" s="4">
        <f t="shared" si="18"/>
      </c>
      <c r="AC46" s="4">
        <f t="shared" si="18"/>
      </c>
      <c r="AD46" s="4">
        <f t="shared" si="18"/>
      </c>
      <c r="AE46" s="4">
        <f t="shared" si="18"/>
      </c>
      <c r="AF46" s="4">
        <f t="shared" si="18"/>
      </c>
      <c r="AG46" s="4">
        <f t="shared" si="18"/>
      </c>
      <c r="AH46" s="4">
        <f t="shared" si="18"/>
      </c>
      <c r="AI46" s="4">
        <f t="shared" si="18"/>
      </c>
      <c r="AJ46" s="4">
        <f t="shared" si="18"/>
      </c>
      <c r="AK46" s="4">
        <f t="shared" si="18"/>
      </c>
      <c r="AL46" s="4">
        <f t="shared" si="18"/>
      </c>
      <c r="AM46" s="4">
        <f t="shared" si="18"/>
      </c>
      <c r="AN46" s="4">
        <f t="shared" si="18"/>
      </c>
      <c r="AO46" s="4">
        <f t="shared" si="18"/>
      </c>
      <c r="AP46" s="4">
        <f t="shared" si="18"/>
      </c>
      <c r="AQ46" s="4">
        <f t="shared" si="18"/>
      </c>
      <c r="AR46" s="4">
        <f t="shared" si="18"/>
      </c>
      <c r="AS46" s="4">
        <f t="shared" si="18"/>
      </c>
      <c r="AT46" s="4">
        <f t="shared" si="18"/>
      </c>
    </row>
    <row r="47" spans="2:46" ht="14.25" hidden="1">
      <c r="B47" s="4">
        <f aca="true" t="shared" si="19" ref="B47:AT47">IF(B13=0,"",IF(MID(B13,1,1)&lt;&gt;B$11,"NAPAKA",""))</f>
      </c>
      <c r="C47" s="4">
        <f t="shared" si="19"/>
      </c>
      <c r="D47" s="4">
        <f t="shared" si="19"/>
      </c>
      <c r="E47" s="4">
        <f t="shared" si="19"/>
      </c>
      <c r="F47" s="4">
        <f t="shared" si="19"/>
      </c>
      <c r="G47" s="4">
        <f t="shared" si="19"/>
      </c>
      <c r="H47" s="4">
        <f t="shared" si="19"/>
      </c>
      <c r="I47" s="4">
        <f t="shared" si="19"/>
      </c>
      <c r="J47" s="4">
        <f t="shared" si="19"/>
      </c>
      <c r="K47" s="4">
        <f t="shared" si="19"/>
      </c>
      <c r="L47" s="4">
        <f t="shared" si="19"/>
      </c>
      <c r="M47" s="4">
        <f t="shared" si="19"/>
      </c>
      <c r="N47" s="4">
        <f t="shared" si="19"/>
      </c>
      <c r="O47" s="4">
        <f t="shared" si="19"/>
      </c>
      <c r="P47" s="4">
        <f t="shared" si="19"/>
      </c>
      <c r="Q47" s="4">
        <f t="shared" si="19"/>
      </c>
      <c r="R47" s="4">
        <f t="shared" si="19"/>
      </c>
      <c r="S47" s="4">
        <f t="shared" si="19"/>
      </c>
      <c r="T47" s="4">
        <f t="shared" si="19"/>
      </c>
      <c r="U47" s="4">
        <f t="shared" si="19"/>
      </c>
      <c r="V47" s="4">
        <f t="shared" si="19"/>
      </c>
      <c r="W47" s="4">
        <f t="shared" si="19"/>
      </c>
      <c r="X47" s="4">
        <f t="shared" si="19"/>
      </c>
      <c r="Y47" s="4">
        <f t="shared" si="19"/>
      </c>
      <c r="Z47" s="4">
        <f t="shared" si="19"/>
      </c>
      <c r="AA47" s="4">
        <f t="shared" si="19"/>
      </c>
      <c r="AB47" s="4">
        <f t="shared" si="19"/>
      </c>
      <c r="AC47" s="4">
        <f t="shared" si="19"/>
      </c>
      <c r="AD47" s="4">
        <f t="shared" si="19"/>
      </c>
      <c r="AE47" s="4">
        <f t="shared" si="19"/>
      </c>
      <c r="AF47" s="4">
        <f t="shared" si="19"/>
      </c>
      <c r="AG47" s="4">
        <f t="shared" si="19"/>
      </c>
      <c r="AH47" s="4">
        <f t="shared" si="19"/>
      </c>
      <c r="AI47" s="4">
        <f t="shared" si="19"/>
      </c>
      <c r="AJ47" s="4">
        <f t="shared" si="19"/>
      </c>
      <c r="AK47" s="4">
        <f t="shared" si="19"/>
      </c>
      <c r="AL47" s="4">
        <f t="shared" si="19"/>
      </c>
      <c r="AM47" s="4">
        <f t="shared" si="19"/>
      </c>
      <c r="AN47" s="4">
        <f t="shared" si="19"/>
      </c>
      <c r="AO47" s="4">
        <f t="shared" si="19"/>
      </c>
      <c r="AP47" s="4">
        <f t="shared" si="19"/>
      </c>
      <c r="AQ47" s="4">
        <f t="shared" si="19"/>
      </c>
      <c r="AR47" s="4">
        <f t="shared" si="19"/>
      </c>
      <c r="AS47" s="4">
        <f t="shared" si="19"/>
      </c>
      <c r="AT47" s="4">
        <f t="shared" si="19"/>
      </c>
    </row>
    <row r="48" spans="2:46" ht="14.25" hidden="1">
      <c r="B48" s="4">
        <f aca="true" t="shared" si="20" ref="B48:AT48">IF(B14=0,"",IF(MID(B14,1,1)&lt;&gt;B$11,"NAPAKA",""))</f>
      </c>
      <c r="C48" s="4">
        <f t="shared" si="20"/>
      </c>
      <c r="D48" s="4">
        <f t="shared" si="20"/>
      </c>
      <c r="E48" s="4">
        <f t="shared" si="20"/>
      </c>
      <c r="F48" s="4">
        <f t="shared" si="20"/>
      </c>
      <c r="G48" s="4">
        <f t="shared" si="20"/>
      </c>
      <c r="H48" s="4">
        <f t="shared" si="20"/>
      </c>
      <c r="I48" s="4">
        <f t="shared" si="20"/>
      </c>
      <c r="J48" s="4">
        <f t="shared" si="20"/>
      </c>
      <c r="K48" s="4">
        <f t="shared" si="20"/>
      </c>
      <c r="L48" s="4">
        <f t="shared" si="20"/>
      </c>
      <c r="M48" s="4">
        <f t="shared" si="20"/>
      </c>
      <c r="N48" s="4">
        <f t="shared" si="20"/>
      </c>
      <c r="O48" s="4">
        <f t="shared" si="20"/>
      </c>
      <c r="P48" s="4">
        <f t="shared" si="20"/>
      </c>
      <c r="Q48" s="4">
        <f t="shared" si="20"/>
      </c>
      <c r="R48" s="4">
        <f t="shared" si="20"/>
      </c>
      <c r="S48" s="4">
        <f t="shared" si="20"/>
      </c>
      <c r="T48" s="4">
        <f t="shared" si="20"/>
      </c>
      <c r="U48" s="4">
        <f t="shared" si="20"/>
      </c>
      <c r="V48" s="4">
        <f t="shared" si="20"/>
      </c>
      <c r="W48" s="4">
        <f t="shared" si="20"/>
      </c>
      <c r="X48" s="4">
        <f t="shared" si="20"/>
      </c>
      <c r="Y48" s="4">
        <f t="shared" si="20"/>
      </c>
      <c r="Z48" s="4">
        <f t="shared" si="20"/>
      </c>
      <c r="AA48" s="4">
        <f t="shared" si="20"/>
      </c>
      <c r="AB48" s="4">
        <f t="shared" si="20"/>
      </c>
      <c r="AC48" s="4">
        <f t="shared" si="20"/>
      </c>
      <c r="AD48" s="4">
        <f t="shared" si="20"/>
      </c>
      <c r="AE48" s="4">
        <f t="shared" si="20"/>
      </c>
      <c r="AF48" s="4">
        <f t="shared" si="20"/>
      </c>
      <c r="AG48" s="4">
        <f t="shared" si="20"/>
      </c>
      <c r="AH48" s="4">
        <f t="shared" si="20"/>
      </c>
      <c r="AI48" s="4">
        <f t="shared" si="20"/>
      </c>
      <c r="AJ48" s="4">
        <f t="shared" si="20"/>
      </c>
      <c r="AK48" s="4">
        <f t="shared" si="20"/>
      </c>
      <c r="AL48" s="4">
        <f t="shared" si="20"/>
      </c>
      <c r="AM48" s="4">
        <f t="shared" si="20"/>
      </c>
      <c r="AN48" s="4">
        <f t="shared" si="20"/>
      </c>
      <c r="AO48" s="4">
        <f t="shared" si="20"/>
      </c>
      <c r="AP48" s="4">
        <f t="shared" si="20"/>
      </c>
      <c r="AQ48" s="4">
        <f t="shared" si="20"/>
      </c>
      <c r="AR48" s="4">
        <f t="shared" si="20"/>
      </c>
      <c r="AS48" s="4">
        <f t="shared" si="20"/>
      </c>
      <c r="AT48" s="4">
        <f t="shared" si="20"/>
      </c>
    </row>
    <row r="49" spans="2:46" ht="14.25" hidden="1">
      <c r="B49" s="4">
        <f aca="true" t="shared" si="21" ref="B49:AT49">IF(B15=0,"",IF(MID(B15,1,1)&lt;&gt;B$11,"NAPAKA",""))</f>
      </c>
      <c r="C49" s="4">
        <f t="shared" si="21"/>
      </c>
      <c r="D49" s="4">
        <f t="shared" si="21"/>
      </c>
      <c r="E49" s="4">
        <f t="shared" si="21"/>
      </c>
      <c r="F49" s="4">
        <f t="shared" si="21"/>
      </c>
      <c r="G49" s="4">
        <f t="shared" si="21"/>
      </c>
      <c r="H49" s="4">
        <f t="shared" si="21"/>
      </c>
      <c r="I49" s="4">
        <f t="shared" si="21"/>
      </c>
      <c r="J49" s="4">
        <f t="shared" si="21"/>
      </c>
      <c r="K49" s="4">
        <f t="shared" si="21"/>
      </c>
      <c r="L49" s="4">
        <f t="shared" si="21"/>
      </c>
      <c r="M49" s="4">
        <f t="shared" si="21"/>
      </c>
      <c r="N49" s="4">
        <f t="shared" si="21"/>
      </c>
      <c r="O49" s="4">
        <f t="shared" si="21"/>
      </c>
      <c r="P49" s="4">
        <f t="shared" si="21"/>
      </c>
      <c r="Q49" s="4">
        <f t="shared" si="21"/>
      </c>
      <c r="R49" s="4">
        <f t="shared" si="21"/>
      </c>
      <c r="S49" s="4">
        <f t="shared" si="21"/>
      </c>
      <c r="T49" s="4">
        <f t="shared" si="21"/>
      </c>
      <c r="U49" s="4">
        <f t="shared" si="21"/>
      </c>
      <c r="V49" s="4">
        <f t="shared" si="21"/>
      </c>
      <c r="W49" s="4">
        <f t="shared" si="21"/>
      </c>
      <c r="X49" s="4">
        <f t="shared" si="21"/>
      </c>
      <c r="Y49" s="4">
        <f t="shared" si="21"/>
      </c>
      <c r="Z49" s="4">
        <f t="shared" si="21"/>
      </c>
      <c r="AA49" s="4">
        <f t="shared" si="21"/>
      </c>
      <c r="AB49" s="4">
        <f t="shared" si="21"/>
      </c>
      <c r="AC49" s="4">
        <f t="shared" si="21"/>
      </c>
      <c r="AD49" s="4">
        <f t="shared" si="21"/>
      </c>
      <c r="AE49" s="4">
        <f t="shared" si="21"/>
      </c>
      <c r="AF49" s="4">
        <f t="shared" si="21"/>
      </c>
      <c r="AG49" s="4">
        <f t="shared" si="21"/>
      </c>
      <c r="AH49" s="4">
        <f t="shared" si="21"/>
      </c>
      <c r="AI49" s="4">
        <f t="shared" si="21"/>
      </c>
      <c r="AJ49" s="4">
        <f t="shared" si="21"/>
      </c>
      <c r="AK49" s="4">
        <f t="shared" si="21"/>
      </c>
      <c r="AL49" s="4">
        <f t="shared" si="21"/>
      </c>
      <c r="AM49" s="4">
        <f t="shared" si="21"/>
      </c>
      <c r="AN49" s="4">
        <f t="shared" si="21"/>
      </c>
      <c r="AO49" s="4">
        <f t="shared" si="21"/>
      </c>
      <c r="AP49" s="4">
        <f t="shared" si="21"/>
      </c>
      <c r="AQ49" s="4">
        <f t="shared" si="21"/>
      </c>
      <c r="AR49" s="4">
        <f t="shared" si="21"/>
      </c>
      <c r="AS49" s="4">
        <f t="shared" si="21"/>
      </c>
      <c r="AT49" s="4">
        <f t="shared" si="21"/>
      </c>
    </row>
    <row r="50" spans="2:46" ht="14.25" hidden="1">
      <c r="B50" s="4">
        <f aca="true" t="shared" si="22" ref="B50:AT50">IF(B16=0,"",IF(MID(B16,1,1)&lt;&gt;B$11,"NAPAKA",""))</f>
      </c>
      <c r="C50" s="4">
        <f t="shared" si="22"/>
      </c>
      <c r="D50" s="4">
        <f t="shared" si="22"/>
      </c>
      <c r="E50" s="4">
        <f t="shared" si="22"/>
      </c>
      <c r="F50" s="4">
        <f t="shared" si="22"/>
      </c>
      <c r="G50" s="4">
        <f t="shared" si="22"/>
      </c>
      <c r="H50" s="4">
        <f t="shared" si="22"/>
      </c>
      <c r="I50" s="4">
        <f t="shared" si="22"/>
      </c>
      <c r="J50" s="4">
        <f t="shared" si="22"/>
      </c>
      <c r="K50" s="4">
        <f t="shared" si="22"/>
      </c>
      <c r="L50" s="4">
        <f t="shared" si="22"/>
      </c>
      <c r="M50" s="4">
        <f t="shared" si="22"/>
      </c>
      <c r="N50" s="4">
        <f t="shared" si="22"/>
      </c>
      <c r="O50" s="4">
        <f t="shared" si="22"/>
      </c>
      <c r="P50" s="4">
        <f t="shared" si="22"/>
      </c>
      <c r="Q50" s="4">
        <f t="shared" si="22"/>
      </c>
      <c r="R50" s="4">
        <f t="shared" si="22"/>
      </c>
      <c r="S50" s="4">
        <f t="shared" si="22"/>
      </c>
      <c r="T50" s="4">
        <f t="shared" si="22"/>
      </c>
      <c r="U50" s="4">
        <f t="shared" si="22"/>
      </c>
      <c r="V50" s="4">
        <f t="shared" si="22"/>
      </c>
      <c r="W50" s="4">
        <f t="shared" si="22"/>
      </c>
      <c r="X50" s="4">
        <f t="shared" si="22"/>
      </c>
      <c r="Y50" s="4">
        <f t="shared" si="22"/>
      </c>
      <c r="Z50" s="4">
        <f t="shared" si="22"/>
      </c>
      <c r="AA50" s="4">
        <f t="shared" si="22"/>
      </c>
      <c r="AB50" s="4">
        <f t="shared" si="22"/>
      </c>
      <c r="AC50" s="4">
        <f t="shared" si="22"/>
      </c>
      <c r="AD50" s="4">
        <f t="shared" si="22"/>
      </c>
      <c r="AE50" s="4">
        <f t="shared" si="22"/>
      </c>
      <c r="AF50" s="4">
        <f t="shared" si="22"/>
      </c>
      <c r="AG50" s="4">
        <f t="shared" si="22"/>
      </c>
      <c r="AH50" s="4">
        <f t="shared" si="22"/>
      </c>
      <c r="AI50" s="4">
        <f t="shared" si="22"/>
      </c>
      <c r="AJ50" s="4">
        <f t="shared" si="22"/>
      </c>
      <c r="AK50" s="4">
        <f t="shared" si="22"/>
      </c>
      <c r="AL50" s="4">
        <f t="shared" si="22"/>
      </c>
      <c r="AM50" s="4">
        <f t="shared" si="22"/>
      </c>
      <c r="AN50" s="4">
        <f t="shared" si="22"/>
      </c>
      <c r="AO50" s="4">
        <f t="shared" si="22"/>
      </c>
      <c r="AP50" s="4">
        <f t="shared" si="22"/>
      </c>
      <c r="AQ50" s="4">
        <f t="shared" si="22"/>
      </c>
      <c r="AR50" s="4">
        <f t="shared" si="22"/>
      </c>
      <c r="AS50" s="4">
        <f t="shared" si="22"/>
      </c>
      <c r="AT50" s="4">
        <f t="shared" si="22"/>
      </c>
    </row>
    <row r="51" spans="2:46" ht="14.25" hidden="1">
      <c r="B51" s="4">
        <f aca="true" t="shared" si="23" ref="B51:AT51">IF(B17=0,"",IF(MID(B17,1,1)&lt;&gt;B$11,"NAPAKA",""))</f>
      </c>
      <c r="C51" s="4">
        <f t="shared" si="23"/>
      </c>
      <c r="D51" s="4">
        <f t="shared" si="23"/>
      </c>
      <c r="E51" s="4">
        <f t="shared" si="23"/>
      </c>
      <c r="F51" s="4">
        <f t="shared" si="23"/>
      </c>
      <c r="G51" s="4">
        <f t="shared" si="23"/>
      </c>
      <c r="H51" s="4">
        <f t="shared" si="23"/>
      </c>
      <c r="I51" s="4">
        <f t="shared" si="23"/>
      </c>
      <c r="J51" s="4">
        <f t="shared" si="23"/>
      </c>
      <c r="K51" s="4">
        <f t="shared" si="23"/>
      </c>
      <c r="L51" s="4">
        <f t="shared" si="23"/>
      </c>
      <c r="M51" s="4">
        <f t="shared" si="23"/>
      </c>
      <c r="N51" s="4">
        <f t="shared" si="23"/>
      </c>
      <c r="O51" s="4">
        <f t="shared" si="23"/>
      </c>
      <c r="P51" s="4">
        <f t="shared" si="23"/>
      </c>
      <c r="Q51" s="4">
        <f t="shared" si="23"/>
      </c>
      <c r="R51" s="4">
        <f t="shared" si="23"/>
      </c>
      <c r="S51" s="4">
        <f t="shared" si="23"/>
      </c>
      <c r="T51" s="4">
        <f t="shared" si="23"/>
      </c>
      <c r="U51" s="4">
        <f t="shared" si="23"/>
      </c>
      <c r="V51" s="4">
        <f t="shared" si="23"/>
      </c>
      <c r="W51" s="4">
        <f t="shared" si="23"/>
      </c>
      <c r="X51" s="4">
        <f t="shared" si="23"/>
      </c>
      <c r="Y51" s="4">
        <f t="shared" si="23"/>
      </c>
      <c r="Z51" s="4">
        <f t="shared" si="23"/>
      </c>
      <c r="AA51" s="4">
        <f t="shared" si="23"/>
      </c>
      <c r="AB51" s="4">
        <f t="shared" si="23"/>
      </c>
      <c r="AC51" s="4">
        <f t="shared" si="23"/>
      </c>
      <c r="AD51" s="4">
        <f t="shared" si="23"/>
      </c>
      <c r="AE51" s="4">
        <f t="shared" si="23"/>
      </c>
      <c r="AF51" s="4">
        <f t="shared" si="23"/>
      </c>
      <c r="AG51" s="4">
        <f t="shared" si="23"/>
      </c>
      <c r="AH51" s="4">
        <f t="shared" si="23"/>
      </c>
      <c r="AI51" s="4">
        <f t="shared" si="23"/>
      </c>
      <c r="AJ51" s="4">
        <f t="shared" si="23"/>
      </c>
      <c r="AK51" s="4">
        <f t="shared" si="23"/>
      </c>
      <c r="AL51" s="4">
        <f t="shared" si="23"/>
      </c>
      <c r="AM51" s="4">
        <f t="shared" si="23"/>
      </c>
      <c r="AN51" s="4">
        <f t="shared" si="23"/>
      </c>
      <c r="AO51" s="4">
        <f t="shared" si="23"/>
      </c>
      <c r="AP51" s="4">
        <f t="shared" si="23"/>
      </c>
      <c r="AQ51" s="4">
        <f t="shared" si="23"/>
      </c>
      <c r="AR51" s="4">
        <f t="shared" si="23"/>
      </c>
      <c r="AS51" s="4">
        <f t="shared" si="23"/>
      </c>
      <c r="AT51" s="4">
        <f t="shared" si="23"/>
      </c>
    </row>
    <row r="52" spans="2:46" ht="14.25" hidden="1">
      <c r="B52" s="4">
        <f aca="true" t="shared" si="24" ref="B52:AT52">IF(B18=0,"",IF(MID(B18,1,1)&lt;&gt;B$11,"NAPAKA",""))</f>
      </c>
      <c r="C52" s="4">
        <f t="shared" si="24"/>
      </c>
      <c r="D52" s="4">
        <f t="shared" si="24"/>
      </c>
      <c r="E52" s="4">
        <f t="shared" si="24"/>
      </c>
      <c r="F52" s="4">
        <f t="shared" si="24"/>
      </c>
      <c r="G52" s="4">
        <f t="shared" si="24"/>
      </c>
      <c r="H52" s="4">
        <f t="shared" si="24"/>
      </c>
      <c r="I52" s="4">
        <f t="shared" si="24"/>
      </c>
      <c r="J52" s="4">
        <f t="shared" si="24"/>
      </c>
      <c r="K52" s="4">
        <f t="shared" si="24"/>
      </c>
      <c r="L52" s="4">
        <f t="shared" si="24"/>
      </c>
      <c r="M52" s="4">
        <f t="shared" si="24"/>
      </c>
      <c r="N52" s="4">
        <f t="shared" si="24"/>
      </c>
      <c r="O52" s="4">
        <f t="shared" si="24"/>
      </c>
      <c r="P52" s="4">
        <f t="shared" si="24"/>
      </c>
      <c r="Q52" s="4">
        <f t="shared" si="24"/>
      </c>
      <c r="R52" s="4">
        <f t="shared" si="24"/>
      </c>
      <c r="S52" s="4">
        <f t="shared" si="24"/>
      </c>
      <c r="T52" s="4">
        <f t="shared" si="24"/>
      </c>
      <c r="U52" s="4">
        <f t="shared" si="24"/>
      </c>
      <c r="V52" s="4">
        <f t="shared" si="24"/>
      </c>
      <c r="W52" s="4">
        <f t="shared" si="24"/>
      </c>
      <c r="X52" s="4">
        <f t="shared" si="24"/>
      </c>
      <c r="Y52" s="4">
        <f t="shared" si="24"/>
      </c>
      <c r="Z52" s="4">
        <f t="shared" si="24"/>
      </c>
      <c r="AA52" s="4">
        <f t="shared" si="24"/>
      </c>
      <c r="AB52" s="4">
        <f t="shared" si="24"/>
      </c>
      <c r="AC52" s="4">
        <f t="shared" si="24"/>
      </c>
      <c r="AD52" s="4">
        <f t="shared" si="24"/>
      </c>
      <c r="AE52" s="4">
        <f t="shared" si="24"/>
      </c>
      <c r="AF52" s="4">
        <f t="shared" si="24"/>
      </c>
      <c r="AG52" s="4">
        <f t="shared" si="24"/>
      </c>
      <c r="AH52" s="4">
        <f t="shared" si="24"/>
      </c>
      <c r="AI52" s="4">
        <f t="shared" si="24"/>
      </c>
      <c r="AJ52" s="4">
        <f t="shared" si="24"/>
      </c>
      <c r="AK52" s="4">
        <f t="shared" si="24"/>
      </c>
      <c r="AL52" s="4">
        <f t="shared" si="24"/>
      </c>
      <c r="AM52" s="4">
        <f t="shared" si="24"/>
      </c>
      <c r="AN52" s="4">
        <f t="shared" si="24"/>
      </c>
      <c r="AO52" s="4">
        <f t="shared" si="24"/>
      </c>
      <c r="AP52" s="4">
        <f t="shared" si="24"/>
      </c>
      <c r="AQ52" s="4">
        <f t="shared" si="24"/>
      </c>
      <c r="AR52" s="4">
        <f t="shared" si="24"/>
      </c>
      <c r="AS52" s="4">
        <f t="shared" si="24"/>
      </c>
      <c r="AT52" s="4">
        <f t="shared" si="24"/>
      </c>
    </row>
    <row r="53" spans="2:46" ht="14.25" hidden="1">
      <c r="B53" s="4">
        <f aca="true" t="shared" si="25" ref="B53:AT53">IF(B19=0,"",IF(MID(B19,1,1)&lt;&gt;B$11,"NAPAKA",""))</f>
      </c>
      <c r="C53" s="4">
        <f t="shared" si="25"/>
      </c>
      <c r="D53" s="4">
        <f t="shared" si="25"/>
      </c>
      <c r="E53" s="4">
        <f t="shared" si="25"/>
      </c>
      <c r="F53" s="4">
        <f t="shared" si="25"/>
      </c>
      <c r="G53" s="4">
        <f t="shared" si="25"/>
      </c>
      <c r="H53" s="4">
        <f t="shared" si="25"/>
      </c>
      <c r="I53" s="4">
        <f t="shared" si="25"/>
      </c>
      <c r="J53" s="4">
        <f t="shared" si="25"/>
      </c>
      <c r="K53" s="4">
        <f t="shared" si="25"/>
      </c>
      <c r="L53" s="4">
        <f t="shared" si="25"/>
      </c>
      <c r="M53" s="4">
        <f t="shared" si="25"/>
      </c>
      <c r="N53" s="4">
        <f t="shared" si="25"/>
      </c>
      <c r="O53" s="4">
        <f t="shared" si="25"/>
      </c>
      <c r="P53" s="4">
        <f t="shared" si="25"/>
      </c>
      <c r="Q53" s="4">
        <f t="shared" si="25"/>
      </c>
      <c r="R53" s="4">
        <f t="shared" si="25"/>
      </c>
      <c r="S53" s="4">
        <f t="shared" si="25"/>
      </c>
      <c r="T53" s="4">
        <f t="shared" si="25"/>
      </c>
      <c r="U53" s="4">
        <f t="shared" si="25"/>
      </c>
      <c r="V53" s="4">
        <f t="shared" si="25"/>
      </c>
      <c r="W53" s="4">
        <f t="shared" si="25"/>
      </c>
      <c r="X53" s="4">
        <f t="shared" si="25"/>
      </c>
      <c r="Y53" s="4">
        <f t="shared" si="25"/>
      </c>
      <c r="Z53" s="4">
        <f t="shared" si="25"/>
      </c>
      <c r="AA53" s="4">
        <f t="shared" si="25"/>
      </c>
      <c r="AB53" s="4">
        <f t="shared" si="25"/>
      </c>
      <c r="AC53" s="4">
        <f t="shared" si="25"/>
      </c>
      <c r="AD53" s="4">
        <f t="shared" si="25"/>
      </c>
      <c r="AE53" s="4">
        <f t="shared" si="25"/>
      </c>
      <c r="AF53" s="4">
        <f t="shared" si="25"/>
      </c>
      <c r="AG53" s="4">
        <f t="shared" si="25"/>
      </c>
      <c r="AH53" s="4">
        <f t="shared" si="25"/>
      </c>
      <c r="AI53" s="4">
        <f t="shared" si="25"/>
      </c>
      <c r="AJ53" s="4">
        <f t="shared" si="25"/>
      </c>
      <c r="AK53" s="4">
        <f t="shared" si="25"/>
      </c>
      <c r="AL53" s="4">
        <f t="shared" si="25"/>
      </c>
      <c r="AM53" s="4">
        <f t="shared" si="25"/>
      </c>
      <c r="AN53" s="4">
        <f t="shared" si="25"/>
      </c>
      <c r="AO53" s="4">
        <f t="shared" si="25"/>
      </c>
      <c r="AP53" s="4">
        <f t="shared" si="25"/>
      </c>
      <c r="AQ53" s="4">
        <f t="shared" si="25"/>
      </c>
      <c r="AR53" s="4">
        <f t="shared" si="25"/>
      </c>
      <c r="AS53" s="4">
        <f t="shared" si="25"/>
      </c>
      <c r="AT53" s="4">
        <f t="shared" si="25"/>
      </c>
    </row>
    <row r="54" spans="2:46" ht="14.25" hidden="1">
      <c r="B54" s="4">
        <f aca="true" t="shared" si="26" ref="B54:AT54">IF(B20=0,"",IF(MID(B20,1,1)&lt;&gt;B$11,"NAPAKA",""))</f>
      </c>
      <c r="C54" s="4">
        <f t="shared" si="26"/>
      </c>
      <c r="D54" s="4">
        <f t="shared" si="26"/>
      </c>
      <c r="E54" s="4">
        <f t="shared" si="26"/>
      </c>
      <c r="F54" s="4">
        <f t="shared" si="26"/>
      </c>
      <c r="G54" s="4">
        <f t="shared" si="26"/>
      </c>
      <c r="H54" s="4">
        <f t="shared" si="26"/>
      </c>
      <c r="I54" s="4">
        <f t="shared" si="26"/>
      </c>
      <c r="J54" s="4">
        <f t="shared" si="26"/>
      </c>
      <c r="K54" s="4">
        <f t="shared" si="26"/>
      </c>
      <c r="L54" s="4">
        <f t="shared" si="26"/>
      </c>
      <c r="M54" s="4">
        <f t="shared" si="26"/>
      </c>
      <c r="N54" s="4">
        <f t="shared" si="26"/>
      </c>
      <c r="O54" s="4">
        <f t="shared" si="26"/>
      </c>
      <c r="P54" s="4">
        <f t="shared" si="26"/>
      </c>
      <c r="Q54" s="4">
        <f t="shared" si="26"/>
      </c>
      <c r="R54" s="4">
        <f t="shared" si="26"/>
      </c>
      <c r="S54" s="4">
        <f t="shared" si="26"/>
      </c>
      <c r="T54" s="4">
        <f t="shared" si="26"/>
      </c>
      <c r="U54" s="4">
        <f t="shared" si="26"/>
      </c>
      <c r="V54" s="4">
        <f t="shared" si="26"/>
      </c>
      <c r="W54" s="4">
        <f t="shared" si="26"/>
      </c>
      <c r="X54" s="4">
        <f t="shared" si="26"/>
      </c>
      <c r="Y54" s="4">
        <f t="shared" si="26"/>
      </c>
      <c r="Z54" s="4">
        <f t="shared" si="26"/>
      </c>
      <c r="AA54" s="4">
        <f t="shared" si="26"/>
      </c>
      <c r="AB54" s="4">
        <f t="shared" si="26"/>
      </c>
      <c r="AC54" s="4">
        <f t="shared" si="26"/>
      </c>
      <c r="AD54" s="4">
        <f t="shared" si="26"/>
      </c>
      <c r="AE54" s="4">
        <f t="shared" si="26"/>
      </c>
      <c r="AF54" s="4">
        <f t="shared" si="26"/>
      </c>
      <c r="AG54" s="4">
        <f t="shared" si="26"/>
      </c>
      <c r="AH54" s="4">
        <f t="shared" si="26"/>
      </c>
      <c r="AI54" s="4">
        <f t="shared" si="26"/>
      </c>
      <c r="AJ54" s="4">
        <f t="shared" si="26"/>
      </c>
      <c r="AK54" s="4">
        <f t="shared" si="26"/>
      </c>
      <c r="AL54" s="4">
        <f t="shared" si="26"/>
      </c>
      <c r="AM54" s="4">
        <f t="shared" si="26"/>
      </c>
      <c r="AN54" s="4">
        <f t="shared" si="26"/>
      </c>
      <c r="AO54" s="4">
        <f t="shared" si="26"/>
      </c>
      <c r="AP54" s="4">
        <f t="shared" si="26"/>
      </c>
      <c r="AQ54" s="4">
        <f t="shared" si="26"/>
      </c>
      <c r="AR54" s="4">
        <f t="shared" si="26"/>
      </c>
      <c r="AS54" s="4">
        <f t="shared" si="26"/>
      </c>
      <c r="AT54" s="4">
        <f t="shared" si="26"/>
      </c>
    </row>
    <row r="55" spans="2:46" ht="14.25" hidden="1">
      <c r="B55" s="4">
        <f aca="true" t="shared" si="27" ref="B55:AT55">IF(B21=0,"",IF(MID(B21,1,1)&lt;&gt;B$11,"NAPAKA",""))</f>
      </c>
      <c r="C55" s="4">
        <f t="shared" si="27"/>
      </c>
      <c r="D55" s="4">
        <f t="shared" si="27"/>
      </c>
      <c r="E55" s="4">
        <f t="shared" si="27"/>
      </c>
      <c r="F55" s="4">
        <f t="shared" si="27"/>
      </c>
      <c r="G55" s="4">
        <f t="shared" si="27"/>
      </c>
      <c r="H55" s="4">
        <f t="shared" si="27"/>
      </c>
      <c r="I55" s="4">
        <f t="shared" si="27"/>
      </c>
      <c r="J55" s="4">
        <f t="shared" si="27"/>
      </c>
      <c r="K55" s="4">
        <f t="shared" si="27"/>
      </c>
      <c r="L55" s="4">
        <f t="shared" si="27"/>
      </c>
      <c r="M55" s="4">
        <f t="shared" si="27"/>
      </c>
      <c r="N55" s="4">
        <f t="shared" si="27"/>
      </c>
      <c r="O55" s="4">
        <f t="shared" si="27"/>
      </c>
      <c r="P55" s="4">
        <f t="shared" si="27"/>
      </c>
      <c r="Q55" s="4">
        <f t="shared" si="27"/>
      </c>
      <c r="R55" s="4">
        <f t="shared" si="27"/>
      </c>
      <c r="S55" s="4">
        <f t="shared" si="27"/>
      </c>
      <c r="T55" s="4">
        <f t="shared" si="27"/>
      </c>
      <c r="U55" s="4">
        <f t="shared" si="27"/>
      </c>
      <c r="V55" s="4">
        <f t="shared" si="27"/>
      </c>
      <c r="W55" s="4">
        <f t="shared" si="27"/>
      </c>
      <c r="X55" s="4">
        <f t="shared" si="27"/>
      </c>
      <c r="Y55" s="4">
        <f t="shared" si="27"/>
      </c>
      <c r="Z55" s="4">
        <f t="shared" si="27"/>
      </c>
      <c r="AA55" s="4">
        <f t="shared" si="27"/>
      </c>
      <c r="AB55" s="4">
        <f t="shared" si="27"/>
      </c>
      <c r="AC55" s="4">
        <f t="shared" si="27"/>
      </c>
      <c r="AD55" s="4">
        <f t="shared" si="27"/>
      </c>
      <c r="AE55" s="4">
        <f t="shared" si="27"/>
      </c>
      <c r="AF55" s="4">
        <f t="shared" si="27"/>
      </c>
      <c r="AG55" s="4">
        <f t="shared" si="27"/>
      </c>
      <c r="AH55" s="4">
        <f t="shared" si="27"/>
      </c>
      <c r="AI55" s="4">
        <f t="shared" si="27"/>
      </c>
      <c r="AJ55" s="4">
        <f t="shared" si="27"/>
      </c>
      <c r="AK55" s="4">
        <f t="shared" si="27"/>
      </c>
      <c r="AL55" s="4">
        <f t="shared" si="27"/>
      </c>
      <c r="AM55" s="4">
        <f t="shared" si="27"/>
      </c>
      <c r="AN55" s="4">
        <f t="shared" si="27"/>
      </c>
      <c r="AO55" s="4">
        <f t="shared" si="27"/>
      </c>
      <c r="AP55" s="4">
        <f t="shared" si="27"/>
      </c>
      <c r="AQ55" s="4">
        <f t="shared" si="27"/>
      </c>
      <c r="AR55" s="4">
        <f t="shared" si="27"/>
      </c>
      <c r="AS55" s="4">
        <f t="shared" si="27"/>
      </c>
      <c r="AT55" s="4">
        <f t="shared" si="27"/>
      </c>
    </row>
    <row r="56" spans="1:46" ht="13.5" customHeight="1" hidden="1">
      <c r="A56" s="52" t="s">
        <v>228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</row>
    <row r="57" ht="14.25" hidden="1"/>
    <row r="58" spans="3:22" ht="14.25" hidden="1">
      <c r="C58" s="60" t="s">
        <v>253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</row>
    <row r="59" spans="3:22" ht="14.25" hidden="1">
      <c r="C59" s="63">
        <v>1</v>
      </c>
      <c r="D59" s="64" t="s">
        <v>199</v>
      </c>
      <c r="E59" s="65">
        <v>2</v>
      </c>
      <c r="F59" s="64" t="s">
        <v>200</v>
      </c>
      <c r="G59" s="65">
        <v>3</v>
      </c>
      <c r="H59" s="66" t="s">
        <v>201</v>
      </c>
      <c r="I59" s="65">
        <v>4</v>
      </c>
      <c r="J59" s="66" t="s">
        <v>202</v>
      </c>
      <c r="K59" s="65">
        <v>5</v>
      </c>
      <c r="L59" s="66" t="s">
        <v>203</v>
      </c>
      <c r="M59" s="65">
        <v>6</v>
      </c>
      <c r="N59" s="66" t="s">
        <v>204</v>
      </c>
      <c r="O59" s="65">
        <v>7</v>
      </c>
      <c r="P59" s="66" t="s">
        <v>205</v>
      </c>
      <c r="Q59" s="65">
        <v>8</v>
      </c>
      <c r="R59" s="66" t="s">
        <v>206</v>
      </c>
      <c r="S59" s="65">
        <v>9</v>
      </c>
      <c r="T59" s="67" t="s">
        <v>207</v>
      </c>
      <c r="U59" s="66" t="s">
        <v>208</v>
      </c>
      <c r="V59" s="68" t="s">
        <v>209</v>
      </c>
    </row>
    <row r="60" spans="2:22" ht="14.25" hidden="1">
      <c r="B60" s="69" t="s">
        <v>229</v>
      </c>
      <c r="C60" s="70">
        <f>'obrazec 4'!P14+'obrazec 4a'!P15+'obrazec 4b'!P15</f>
        <v>0</v>
      </c>
      <c r="D60" s="71">
        <f>'obrazec 4'!P15+'obrazec 4a'!P16+'obrazec 4b'!P16</f>
        <v>0</v>
      </c>
      <c r="E60" s="72">
        <f>'obrazec 4'!P16+'obrazec 4a'!P17+'obrazec 4b'!P17</f>
        <v>0</v>
      </c>
      <c r="F60" s="72">
        <f>'obrazec 4'!P17+'obrazec 4a'!P18+'obrazec 4b'!P18</f>
        <v>0</v>
      </c>
      <c r="G60" s="72">
        <f>'obrazec 4'!P18+'obrazec 4a'!P19+'obrazec 4b'!P19</f>
        <v>0</v>
      </c>
      <c r="H60" s="72">
        <f>'obrazec 4'!P19+'obrazec 4a'!P20+'obrazec 4b'!P20</f>
        <v>0</v>
      </c>
      <c r="I60" s="72">
        <f>'obrazec 4'!P20+'obrazec 4a'!P21+'obrazec 4b'!P21</f>
        <v>0</v>
      </c>
      <c r="J60" s="72">
        <f>'obrazec 4'!P21+'obrazec 4a'!P22+'obrazec 4b'!P22</f>
        <v>0</v>
      </c>
      <c r="K60" s="72">
        <f>'obrazec 4'!P22+'obrazec 4a'!P23+'obrazec 4b'!P23</f>
        <v>0</v>
      </c>
      <c r="L60" s="72">
        <f>'obrazec 4'!P23+'obrazec 4a'!P24+'obrazec 4b'!P24</f>
        <v>0</v>
      </c>
      <c r="M60" s="72">
        <f>'obrazec 4'!P24+'obrazec 4a'!P25+'obrazec 4b'!P25</f>
        <v>0</v>
      </c>
      <c r="N60" s="72">
        <f>'obrazec 4'!P25+'obrazec 4a'!P26+'obrazec 4b'!P26</f>
        <v>0</v>
      </c>
      <c r="O60" s="72">
        <f>'obrazec 4'!P26+'obrazec 4a'!P27+'obrazec 4b'!P27</f>
        <v>0</v>
      </c>
      <c r="P60" s="72">
        <f>'obrazec 4'!P27+'obrazec 4a'!P28+'obrazec 4b'!P28</f>
        <v>0</v>
      </c>
      <c r="Q60" s="72">
        <f>'obrazec 4'!P28+'obrazec 4a'!P29+'obrazec 4b'!P29</f>
        <v>0</v>
      </c>
      <c r="R60" s="72">
        <f>'obrazec 4'!P29+'obrazec 4a'!P30+'obrazec 4b'!P30</f>
        <v>0</v>
      </c>
      <c r="S60" s="72">
        <f>'obrazec 4'!P30+'obrazec 4a'!P31+'obrazec 4b'!P31</f>
        <v>0</v>
      </c>
      <c r="T60" s="72">
        <f>'obrazec 4'!P31+'obrazec 4a'!P32+'obrazec 4b'!P32</f>
        <v>0</v>
      </c>
      <c r="U60" s="72">
        <f>'obrazec 4'!P32+'obrazec 4a'!P33+'obrazec 4b'!P33</f>
        <v>0</v>
      </c>
      <c r="V60" s="73">
        <f>'obrazec 4'!P33+'obrazec 4a'!P34+'obrazec 4b'!P34</f>
        <v>0</v>
      </c>
    </row>
    <row r="61" spans="2:22" ht="14.25" hidden="1">
      <c r="B61" s="74" t="s">
        <v>230</v>
      </c>
      <c r="C61" s="75">
        <f>'obrazec 4'!Q14+'obrazec 4a'!Q15+'obrazec 4b'!Q15</f>
        <v>0</v>
      </c>
      <c r="D61" s="76">
        <f>'obrazec 4'!Q15+'obrazec 4a'!Q16+'obrazec 4b'!Q16</f>
        <v>0</v>
      </c>
      <c r="E61" s="77">
        <f>'obrazec 4'!Q16+'obrazec 4a'!Q17+'obrazec 4b'!Q17</f>
        <v>0</v>
      </c>
      <c r="F61" s="77">
        <f>'obrazec 4'!Q17+'obrazec 4a'!Q18+'obrazec 4b'!Q18</f>
        <v>0</v>
      </c>
      <c r="G61" s="77">
        <f>'obrazec 4'!Q18+'obrazec 4a'!Q19+'obrazec 4b'!Q19</f>
        <v>0</v>
      </c>
      <c r="H61" s="77">
        <f>'obrazec 4'!Q19+'obrazec 4a'!Q20+'obrazec 4b'!Q20</f>
        <v>0</v>
      </c>
      <c r="I61" s="77">
        <f>'obrazec 4'!Q20+'obrazec 4a'!Q21+'obrazec 4b'!Q21</f>
        <v>0</v>
      </c>
      <c r="J61" s="77">
        <f>'obrazec 4'!Q21+'obrazec 4a'!Q22+'obrazec 4b'!Q22</f>
        <v>0</v>
      </c>
      <c r="K61" s="77">
        <f>'obrazec 4'!Q22+'obrazec 4a'!Q23+'obrazec 4b'!Q23</f>
        <v>0</v>
      </c>
      <c r="L61" s="77">
        <f>'obrazec 4'!Q23+'obrazec 4a'!Q24+'obrazec 4b'!Q24</f>
        <v>0</v>
      </c>
      <c r="M61" s="77">
        <f>'obrazec 4'!Q24+'obrazec 4a'!Q25+'obrazec 4b'!Q25</f>
        <v>0</v>
      </c>
      <c r="N61" s="77">
        <f>'obrazec 4'!Q25+'obrazec 4a'!Q26+'obrazec 4b'!Q26</f>
        <v>0</v>
      </c>
      <c r="O61" s="77">
        <f>'obrazec 4'!Q26+'obrazec 4a'!Q27+'obrazec 4b'!Q27</f>
        <v>0</v>
      </c>
      <c r="P61" s="77">
        <f>'obrazec 4'!Q27+'obrazec 4a'!Q28+'obrazec 4b'!Q28</f>
        <v>0</v>
      </c>
      <c r="Q61" s="77">
        <f>'obrazec 4'!Q28+'obrazec 4a'!Q29+'obrazec 4b'!Q29</f>
        <v>0</v>
      </c>
      <c r="R61" s="77">
        <f>'obrazec 4'!Q29+'obrazec 4a'!Q30+'obrazec 4b'!Q30</f>
        <v>0</v>
      </c>
      <c r="S61" s="77">
        <f>'obrazec 4'!Q30+'obrazec 4a'!Q31+'obrazec 4b'!Q31</f>
        <v>0</v>
      </c>
      <c r="T61" s="77">
        <f>'obrazec 4'!Q31+'obrazec 4a'!Q32+'obrazec 4b'!Q32</f>
        <v>0</v>
      </c>
      <c r="U61" s="77">
        <f>'obrazec 4'!Q32+'obrazec 4a'!Q33+'obrazec 4b'!Q33</f>
        <v>0</v>
      </c>
      <c r="V61" s="78">
        <f>'obrazec 4'!Q33+'obrazec 4a'!Q34+'obrazec 4b'!Q34</f>
        <v>0</v>
      </c>
    </row>
    <row r="62" spans="2:22" ht="6" customHeight="1" hidden="1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3:22" ht="14.25">
      <c r="C63" s="60" t="s">
        <v>254</v>
      </c>
      <c r="D63" s="61"/>
      <c r="E63" s="61"/>
      <c r="F63" s="61"/>
      <c r="G63" s="61"/>
      <c r="H63" s="61"/>
      <c r="I63" s="61"/>
      <c r="J63" s="61"/>
      <c r="K63" s="61"/>
      <c r="L63" s="61"/>
      <c r="M63" s="81"/>
      <c r="N63" s="81"/>
      <c r="O63" s="81"/>
      <c r="P63" s="81"/>
      <c r="Q63" s="81"/>
      <c r="R63" s="81"/>
      <c r="S63" s="81"/>
      <c r="T63" s="81"/>
      <c r="U63" s="81"/>
      <c r="V63" s="82"/>
    </row>
    <row r="64" spans="3:22" ht="14.25">
      <c r="C64" s="63">
        <v>1</v>
      </c>
      <c r="D64" s="64" t="s">
        <v>199</v>
      </c>
      <c r="E64" s="64" t="s">
        <v>207</v>
      </c>
      <c r="F64" s="65">
        <v>2</v>
      </c>
      <c r="G64" s="64" t="s">
        <v>200</v>
      </c>
      <c r="H64" s="65">
        <v>3</v>
      </c>
      <c r="I64" s="66" t="s">
        <v>201</v>
      </c>
      <c r="J64" s="65">
        <v>4</v>
      </c>
      <c r="K64" s="66" t="s">
        <v>202</v>
      </c>
      <c r="L64" s="66" t="s">
        <v>208</v>
      </c>
      <c r="M64" s="65">
        <v>5</v>
      </c>
      <c r="N64" s="66" t="s">
        <v>203</v>
      </c>
      <c r="O64" s="65">
        <v>6</v>
      </c>
      <c r="P64" s="66" t="s">
        <v>204</v>
      </c>
      <c r="Q64" s="65">
        <v>7</v>
      </c>
      <c r="R64" s="66" t="s">
        <v>205</v>
      </c>
      <c r="S64" s="66" t="s">
        <v>209</v>
      </c>
      <c r="T64" s="65">
        <v>8</v>
      </c>
      <c r="U64" s="66" t="s">
        <v>206</v>
      </c>
      <c r="V64" s="83">
        <v>9</v>
      </c>
    </row>
    <row r="65" spans="3:22" ht="14.25">
      <c r="C65" s="737">
        <f>B26+K26+T26+AC26+AL26</f>
        <v>0</v>
      </c>
      <c r="D65" s="727"/>
      <c r="E65" s="728"/>
      <c r="F65" s="726">
        <f>C26+L26+U26+AD26+AM26</f>
        <v>0</v>
      </c>
      <c r="G65" s="728"/>
      <c r="H65" s="726">
        <f>D26+M26+V26+AE26+AN26</f>
        <v>0</v>
      </c>
      <c r="I65" s="728"/>
      <c r="J65" s="726">
        <f>E26+N26+W26+AF26+AO26</f>
        <v>0</v>
      </c>
      <c r="K65" s="727"/>
      <c r="L65" s="728"/>
      <c r="M65" s="726">
        <f>F26+O26+X26+AG26+AP26</f>
        <v>0</v>
      </c>
      <c r="N65" s="728"/>
      <c r="O65" s="726">
        <f>G26+P26+Y26+AH26+AQ26</f>
        <v>0</v>
      </c>
      <c r="P65" s="728"/>
      <c r="Q65" s="726">
        <f>H26+Q26+Z26+AI26+AR26</f>
        <v>0</v>
      </c>
      <c r="R65" s="727"/>
      <c r="S65" s="727"/>
      <c r="T65" s="726">
        <f>I26+R26+AA26+AJ26+AS26</f>
        <v>0</v>
      </c>
      <c r="U65" s="728"/>
      <c r="V65" s="84">
        <f>J26+S26+AB26+AK26+AT26</f>
        <v>0</v>
      </c>
    </row>
    <row r="66" spans="2:22" ht="14.25">
      <c r="B66" s="69" t="s">
        <v>229</v>
      </c>
      <c r="C66" s="729">
        <f>C60+D60+T60</f>
        <v>0</v>
      </c>
      <c r="D66" s="723"/>
      <c r="E66" s="724"/>
      <c r="F66" s="722">
        <f>E60+F60</f>
        <v>0</v>
      </c>
      <c r="G66" s="724"/>
      <c r="H66" s="722">
        <f>H60+G60</f>
        <v>0</v>
      </c>
      <c r="I66" s="724"/>
      <c r="J66" s="722">
        <f>I60+J60+U60</f>
        <v>0</v>
      </c>
      <c r="K66" s="723"/>
      <c r="L66" s="724"/>
      <c r="M66" s="722">
        <f>K60+L60</f>
        <v>0</v>
      </c>
      <c r="N66" s="724"/>
      <c r="O66" s="722">
        <f>M60+N60</f>
        <v>0</v>
      </c>
      <c r="P66" s="724"/>
      <c r="Q66" s="722">
        <f>O60+P60+V60</f>
        <v>0</v>
      </c>
      <c r="R66" s="723"/>
      <c r="S66" s="724"/>
      <c r="T66" s="722">
        <f>Q60+R60</f>
        <v>0</v>
      </c>
      <c r="U66" s="724"/>
      <c r="V66" s="85">
        <f>S60</f>
        <v>0</v>
      </c>
    </row>
    <row r="67" spans="2:23" ht="14.25">
      <c r="B67" s="74" t="s">
        <v>230</v>
      </c>
      <c r="C67" s="730">
        <f>C61+D61+T61</f>
        <v>0</v>
      </c>
      <c r="D67" s="725"/>
      <c r="E67" s="721"/>
      <c r="F67" s="720">
        <f>E61+F61</f>
        <v>0</v>
      </c>
      <c r="G67" s="721"/>
      <c r="H67" s="720">
        <f>H61+G61</f>
        <v>0</v>
      </c>
      <c r="I67" s="721"/>
      <c r="J67" s="720">
        <f>I61+J61+U61</f>
        <v>0</v>
      </c>
      <c r="K67" s="725"/>
      <c r="L67" s="721"/>
      <c r="M67" s="720">
        <f>K61+L61</f>
        <v>0</v>
      </c>
      <c r="N67" s="721"/>
      <c r="O67" s="720">
        <f>M61+N61</f>
        <v>0</v>
      </c>
      <c r="P67" s="721"/>
      <c r="Q67" s="720">
        <f>O61+P61+V61</f>
        <v>0</v>
      </c>
      <c r="R67" s="725"/>
      <c r="S67" s="721"/>
      <c r="T67" s="720">
        <f>Q61+R61</f>
        <v>0</v>
      </c>
      <c r="U67" s="721"/>
      <c r="V67" s="78">
        <f>S61</f>
        <v>0</v>
      </c>
      <c r="W67" s="58"/>
    </row>
    <row r="68" spans="2:58" ht="14.25">
      <c r="B68" s="86"/>
      <c r="C68" s="719">
        <f>IF(BF26=0,"",IF(AND(C65&lt;=C67,C65&gt;=C66),"","NAPAKA 2"))</f>
      </c>
      <c r="D68" s="719"/>
      <c r="E68" s="719"/>
      <c r="F68" s="719">
        <f>IF(BF26=0,"",IF(AND(F65&lt;=F67,F65&gt;=F66),"","NAPAKA 2"))</f>
      </c>
      <c r="G68" s="719"/>
      <c r="H68" s="719">
        <f>IF(BF26=0,"",IF(AND(H65&lt;=H67,H65&gt;=H66),"","NAPAKA 2"))</f>
      </c>
      <c r="I68" s="719"/>
      <c r="J68" s="719">
        <f>IF(BF26=0,"",IF(AND(J65&lt;=J67,J65&gt;=J66),"","NAPAKA 2"))</f>
      </c>
      <c r="K68" s="719"/>
      <c r="L68" s="719"/>
      <c r="M68" s="719">
        <f>IF(BF26=0,"",IF(AND(M65&lt;=M67,M65&gt;=M66),"","NAPAKA 2"))</f>
      </c>
      <c r="N68" s="719"/>
      <c r="O68" s="719">
        <f>IF(BF26=0,"",IF(AND(O65&lt;=O67,O65&gt;=O66),"","NAPAKA 2"))</f>
      </c>
      <c r="P68" s="719"/>
      <c r="Q68" s="719">
        <f>IF(BF26=0,"",IF(AND(Q65&lt;=Q67,Q65&gt;=Q66),"","NAPAKA 2"))</f>
      </c>
      <c r="R68" s="719"/>
      <c r="S68" s="719"/>
      <c r="T68" s="719">
        <f>IF(BF26=0,"",IF(AND(T65&lt;=T67,T65&gt;=T66),"","NAPAKA 2"))</f>
      </c>
      <c r="U68" s="719"/>
      <c r="V68" s="87">
        <f>IF(BF26=0,"",IF(AND(V65&lt;=V67,V65&gt;=V66),"","NAPAKA 2"))</f>
      </c>
      <c r="W68" s="88"/>
      <c r="AV68" s="51"/>
      <c r="BF68" s="51">
        <f>IF(COUNTIF($B$68:$AT$68,"NAPAKA 2")&gt;0,"NAPAKA 2","")</f>
      </c>
    </row>
    <row r="69" spans="2:58" ht="14.25">
      <c r="B69" s="86"/>
      <c r="C69" s="719"/>
      <c r="D69" s="719"/>
      <c r="E69" s="719"/>
      <c r="F69" s="719"/>
      <c r="G69" s="719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87"/>
      <c r="BF69" s="4">
        <f>IF(AND(BF24="",BF25="",BF68=""),"","NAPAKA")</f>
      </c>
    </row>
    <row r="70" spans="1:35" ht="14.25">
      <c r="A70" s="4" t="s">
        <v>261</v>
      </c>
      <c r="B70" s="86"/>
      <c r="C70" s="86"/>
      <c r="D70" s="86"/>
      <c r="E70" s="88"/>
      <c r="F70" s="88"/>
      <c r="G70" s="88"/>
      <c r="H70" s="88"/>
      <c r="I70" s="88"/>
      <c r="J70" s="88"/>
      <c r="K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</row>
    <row r="71" spans="1:35" ht="14.25">
      <c r="A71" s="4" t="s">
        <v>271</v>
      </c>
      <c r="B71" s="86"/>
      <c r="C71" s="86"/>
      <c r="D71" s="86"/>
      <c r="E71" s="88"/>
      <c r="F71" s="88"/>
      <c r="G71" s="88"/>
      <c r="H71" s="88"/>
      <c r="I71" s="88"/>
      <c r="J71" s="88"/>
      <c r="K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</row>
    <row r="72" spans="1:35" ht="14.25">
      <c r="A72" s="4" t="s">
        <v>270</v>
      </c>
      <c r="B72" s="86"/>
      <c r="C72" s="86"/>
      <c r="D72" s="86"/>
      <c r="E72" s="88"/>
      <c r="F72" s="88"/>
      <c r="G72" s="88"/>
      <c r="H72" s="88"/>
      <c r="I72" s="88"/>
      <c r="J72" s="88"/>
      <c r="K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</row>
    <row r="73" spans="2:35" ht="14.25">
      <c r="B73" s="86"/>
      <c r="C73" s="86"/>
      <c r="D73" s="86"/>
      <c r="E73" s="88"/>
      <c r="F73" s="88"/>
      <c r="G73" s="88"/>
      <c r="H73" s="88"/>
      <c r="I73" s="88"/>
      <c r="J73" s="88"/>
      <c r="K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</row>
    <row r="74" spans="2:35" ht="14.25">
      <c r="B74" s="86"/>
      <c r="C74" s="86"/>
      <c r="D74" s="86"/>
      <c r="E74" s="88"/>
      <c r="F74" s="88"/>
      <c r="G74" s="88"/>
      <c r="H74" s="88"/>
      <c r="I74" s="88"/>
      <c r="J74" s="88"/>
      <c r="K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</row>
    <row r="75" spans="2:35" ht="14.25">
      <c r="B75" s="86"/>
      <c r="C75" s="86"/>
      <c r="D75" s="86"/>
      <c r="E75" s="88"/>
      <c r="F75" s="88"/>
      <c r="G75" s="88"/>
      <c r="H75" s="88"/>
      <c r="I75" s="88"/>
      <c r="J75" s="88"/>
      <c r="K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</row>
    <row r="76" spans="1:46" ht="14.25" customHeight="1">
      <c r="A76" s="587" t="s">
        <v>21</v>
      </c>
      <c r="B76" s="587"/>
      <c r="C76" s="587"/>
      <c r="D76" s="587"/>
      <c r="E76" s="587"/>
      <c r="F76" s="587"/>
      <c r="O76" s="578" t="s">
        <v>262</v>
      </c>
      <c r="P76" s="578"/>
      <c r="Q76" s="578"/>
      <c r="R76" s="578"/>
      <c r="S76" s="578"/>
      <c r="T76" s="578"/>
      <c r="U76" s="578"/>
      <c r="V76" s="578"/>
      <c r="AH76" s="299"/>
      <c r="AM76" s="587" t="s">
        <v>344</v>
      </c>
      <c r="AN76" s="587"/>
      <c r="AO76" s="587"/>
      <c r="AP76" s="587"/>
      <c r="AQ76" s="587"/>
      <c r="AR76" s="587"/>
      <c r="AS76" s="587"/>
      <c r="AT76"/>
    </row>
    <row r="77" spans="16:46" ht="14.25">
      <c r="P77" s="674">
        <f>IF('obrazec 1'!F4="","",'obrazec 1'!F12)</f>
      </c>
      <c r="Q77" s="674"/>
      <c r="R77" s="674"/>
      <c r="S77" s="674"/>
      <c r="T77" s="674"/>
      <c r="U77" s="674"/>
      <c r="AM77" s="648">
        <f>IF('obrazec 1'!F4="","",'obrazec 1'!F4)</f>
      </c>
      <c r="AN77" s="648"/>
      <c r="AO77" s="648"/>
      <c r="AP77" s="648"/>
      <c r="AQ77" s="648"/>
      <c r="AR77" s="648"/>
      <c r="AS77" s="648"/>
      <c r="AT77"/>
    </row>
    <row r="78" spans="1:46" ht="14.25">
      <c r="A78" s="639">
        <f>IF('obrazec 2'!A3="","",'obrazec 2'!A3)</f>
      </c>
      <c r="B78" s="639"/>
      <c r="C78" s="639"/>
      <c r="D78" s="639"/>
      <c r="E78" s="639"/>
      <c r="P78" s="639">
        <f>IF('obrazec 1'!F4="","",'obrazec 1'!F14)</f>
      </c>
      <c r="Q78" s="639"/>
      <c r="R78" s="639"/>
      <c r="S78" s="639"/>
      <c r="T78" s="639"/>
      <c r="U78" s="639"/>
      <c r="AM78" s="639">
        <f>IF('obrazec 1'!F6="","",'obrazec 1'!F6)</f>
      </c>
      <c r="AN78" s="639"/>
      <c r="AO78" s="639"/>
      <c r="AP78" s="639"/>
      <c r="AQ78" s="639"/>
      <c r="AR78" s="639"/>
      <c r="AS78" s="639"/>
      <c r="AT78"/>
    </row>
    <row r="79" ht="14.25">
      <c r="AT79"/>
    </row>
    <row r="84" ht="14.25">
      <c r="B84" s="86"/>
    </row>
    <row r="85" ht="14.25">
      <c r="B85" s="89"/>
    </row>
    <row r="86" ht="14.25">
      <c r="B86" s="86"/>
    </row>
    <row r="87" ht="14.25">
      <c r="B87" s="89"/>
    </row>
    <row r="88" ht="14.25">
      <c r="B88" s="86"/>
    </row>
    <row r="89" ht="14.25">
      <c r="B89" s="90"/>
    </row>
    <row r="90" ht="14.25">
      <c r="B90" s="86"/>
    </row>
    <row r="91" ht="14.25">
      <c r="B91" s="90"/>
    </row>
    <row r="92" ht="14.25">
      <c r="B92" s="86"/>
    </row>
    <row r="93" ht="14.25">
      <c r="B93" s="90"/>
    </row>
    <row r="94" ht="14.25">
      <c r="B94" s="86"/>
    </row>
    <row r="95" ht="14.25">
      <c r="B95" s="90"/>
    </row>
    <row r="96" ht="14.25">
      <c r="B96" s="86"/>
    </row>
    <row r="97" ht="14.25">
      <c r="B97" s="90"/>
    </row>
    <row r="98" ht="14.25">
      <c r="B98" s="86"/>
    </row>
    <row r="99" ht="14.25">
      <c r="B99" s="90"/>
    </row>
    <row r="100" ht="14.25">
      <c r="B100" s="86"/>
    </row>
    <row r="101" ht="14.25">
      <c r="B101" s="90"/>
    </row>
    <row r="102" ht="14.25">
      <c r="B102" s="90"/>
    </row>
    <row r="103" ht="14.25">
      <c r="B103" s="90"/>
    </row>
    <row r="104" ht="14.25">
      <c r="B104" s="90"/>
    </row>
  </sheetData>
  <sheetProtection password="C86A" sheet="1" selectLockedCells="1"/>
  <mergeCells count="64">
    <mergeCell ref="F68:G68"/>
    <mergeCell ref="H68:I68"/>
    <mergeCell ref="M69:N69"/>
    <mergeCell ref="Q69:S69"/>
    <mergeCell ref="T69:U69"/>
    <mergeCell ref="C69:E69"/>
    <mergeCell ref="F69:G69"/>
    <mergeCell ref="H69:I69"/>
    <mergeCell ref="J69:L69"/>
    <mergeCell ref="O69:P69"/>
    <mergeCell ref="F65:G65"/>
    <mergeCell ref="AH6:AI6"/>
    <mergeCell ref="A78:E78"/>
    <mergeCell ref="P78:U78"/>
    <mergeCell ref="E6:L6"/>
    <mergeCell ref="A6:D6"/>
    <mergeCell ref="K10:S10"/>
    <mergeCell ref="O76:V76"/>
    <mergeCell ref="A76:F76"/>
    <mergeCell ref="C68:E68"/>
    <mergeCell ref="N6:P6"/>
    <mergeCell ref="Q6:AB6"/>
    <mergeCell ref="B10:J10"/>
    <mergeCell ref="K8:M8"/>
    <mergeCell ref="K9:M9"/>
    <mergeCell ref="A8:J8"/>
    <mergeCell ref="T10:AB10"/>
    <mergeCell ref="H65:I65"/>
    <mergeCell ref="M65:N65"/>
    <mergeCell ref="J66:L66"/>
    <mergeCell ref="AL10:AT10"/>
    <mergeCell ref="B22:AS22"/>
    <mergeCell ref="M66:N66"/>
    <mergeCell ref="AC10:AK10"/>
    <mergeCell ref="T66:U66"/>
    <mergeCell ref="J65:L65"/>
    <mergeCell ref="C65:E65"/>
    <mergeCell ref="A2:AU2"/>
    <mergeCell ref="Q65:S65"/>
    <mergeCell ref="T65:U65"/>
    <mergeCell ref="C66:E66"/>
    <mergeCell ref="C67:E67"/>
    <mergeCell ref="O65:P65"/>
    <mergeCell ref="B23:AS23"/>
    <mergeCell ref="F66:G66"/>
    <mergeCell ref="F67:G67"/>
    <mergeCell ref="H66:I66"/>
    <mergeCell ref="T67:U67"/>
    <mergeCell ref="O67:P67"/>
    <mergeCell ref="Q66:S66"/>
    <mergeCell ref="Q67:S67"/>
    <mergeCell ref="J67:L67"/>
    <mergeCell ref="H67:I67"/>
    <mergeCell ref="M67:N67"/>
    <mergeCell ref="O66:P66"/>
    <mergeCell ref="AM76:AS76"/>
    <mergeCell ref="AM78:AS78"/>
    <mergeCell ref="J68:L68"/>
    <mergeCell ref="M68:N68"/>
    <mergeCell ref="O68:P68"/>
    <mergeCell ref="Q68:S68"/>
    <mergeCell ref="T68:U68"/>
    <mergeCell ref="AM77:AS77"/>
    <mergeCell ref="P77:U77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5" r:id="rId1"/>
  <headerFooter>
    <oddFooter>&amp;R&amp;K00-024&amp;A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BF104"/>
  <sheetViews>
    <sheetView showGridLines="0" zoomScalePageLayoutView="0" workbookViewId="0" topLeftCell="F1">
      <selection activeCell="K8" sqref="K8:M8"/>
    </sheetView>
  </sheetViews>
  <sheetFormatPr defaultColWidth="9.140625" defaultRowHeight="15"/>
  <cols>
    <col min="1" max="1" width="5.140625" style="4" customWidth="1"/>
    <col min="2" max="46" width="4.7109375" style="4" customWidth="1"/>
    <col min="47" max="47" width="5.7109375" style="4" customWidth="1"/>
    <col min="48" max="54" width="5.7109375" style="4" hidden="1" customWidth="1"/>
    <col min="55" max="57" width="4.7109375" style="4" hidden="1" customWidth="1"/>
    <col min="58" max="60" width="8.8515625" style="4" hidden="1" customWidth="1"/>
    <col min="61" max="16384" width="8.8515625" style="4" customWidth="1"/>
  </cols>
  <sheetData>
    <row r="1" ht="4.5" customHeight="1"/>
    <row r="2" spans="1:46" ht="15" customHeight="1">
      <c r="A2" s="694">
        <f>IF('obrazec 1'!F4="","",IF(COUNT('obrazec 4 - OŠPP'!$D$12:$O$31)=0,"",'obrazec 1'!F4))</f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  <c r="AR2" s="694"/>
      <c r="AS2" s="694"/>
      <c r="AT2" s="694"/>
    </row>
    <row r="3" ht="4.5" customHeight="1"/>
    <row r="4" ht="14.25">
      <c r="N4" s="4" t="s">
        <v>174</v>
      </c>
    </row>
    <row r="5" spans="12:16" ht="14.25">
      <c r="L5" s="41"/>
      <c r="M5" s="41"/>
      <c r="N5" s="41"/>
      <c r="O5" s="41"/>
      <c r="P5" s="41"/>
    </row>
    <row r="6" spans="1:35" ht="14.25">
      <c r="A6" s="587" t="s">
        <v>263</v>
      </c>
      <c r="B6" s="587"/>
      <c r="C6" s="587"/>
      <c r="D6" s="587"/>
      <c r="E6" s="739">
        <f>IF('obrazec 1'!H71="","",IF(COUNT('obrazec 4 - OŠPP'!$D$12:$O$31)=0,"",'obrazec 1'!H71))</f>
      </c>
      <c r="F6" s="739"/>
      <c r="G6" s="739"/>
      <c r="H6" s="739"/>
      <c r="I6" s="739"/>
      <c r="J6" s="739"/>
      <c r="K6" s="739"/>
      <c r="L6" s="739"/>
      <c r="M6" s="41"/>
      <c r="N6" s="738" t="s">
        <v>401</v>
      </c>
      <c r="O6" s="738"/>
      <c r="P6" s="738"/>
      <c r="Q6" s="739">
        <f>IF(A2="","",A2)</f>
      </c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D6" s="4" t="s">
        <v>250</v>
      </c>
      <c r="AH6" s="745"/>
      <c r="AI6" s="745"/>
    </row>
    <row r="7" spans="1:37" ht="14.25">
      <c r="A7" s="175"/>
      <c r="B7" s="175"/>
      <c r="C7" s="178"/>
      <c r="D7" s="178"/>
      <c r="E7" s="178"/>
      <c r="F7" s="178"/>
      <c r="G7" s="178"/>
      <c r="H7" s="178"/>
      <c r="I7" s="178"/>
      <c r="J7" s="178"/>
      <c r="K7" s="178"/>
      <c r="L7" s="41"/>
      <c r="M7" s="41"/>
      <c r="N7" s="185"/>
      <c r="O7" s="185"/>
      <c r="P7" s="18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H7" s="545" t="s">
        <v>469</v>
      </c>
      <c r="AI7" s="509"/>
      <c r="AK7" s="41"/>
    </row>
    <row r="8" spans="1:16" ht="14.25">
      <c r="A8" s="675" t="s">
        <v>435</v>
      </c>
      <c r="B8" s="675"/>
      <c r="C8" s="675"/>
      <c r="D8" s="675"/>
      <c r="E8" s="675"/>
      <c r="F8" s="675"/>
      <c r="G8" s="675"/>
      <c r="H8" s="675"/>
      <c r="I8" s="675"/>
      <c r="J8" s="675"/>
      <c r="K8" s="646"/>
      <c r="L8" s="646"/>
      <c r="M8" s="646"/>
      <c r="N8" s="480">
        <f>IF(AND(COUNT('obrazec 4 - OŠPP'!$D$12:$O$31),K8=""),"NAPAKA - obvezno izpolnite polje !","")</f>
      </c>
      <c r="O8" s="41"/>
      <c r="P8" s="41"/>
    </row>
    <row r="9" spans="11:13" ht="14.25">
      <c r="K9" s="743" t="s">
        <v>257</v>
      </c>
      <c r="L9" s="743"/>
      <c r="M9" s="743"/>
    </row>
    <row r="10" spans="2:46" ht="14.25">
      <c r="B10" s="740" t="s">
        <v>175</v>
      </c>
      <c r="C10" s="741"/>
      <c r="D10" s="741"/>
      <c r="E10" s="741"/>
      <c r="F10" s="741"/>
      <c r="G10" s="741"/>
      <c r="H10" s="741"/>
      <c r="I10" s="741"/>
      <c r="J10" s="742"/>
      <c r="K10" s="734" t="s">
        <v>176</v>
      </c>
      <c r="L10" s="735"/>
      <c r="M10" s="735"/>
      <c r="N10" s="735"/>
      <c r="O10" s="735"/>
      <c r="P10" s="735"/>
      <c r="Q10" s="735"/>
      <c r="R10" s="735"/>
      <c r="S10" s="744"/>
      <c r="T10" s="734" t="s">
        <v>177</v>
      </c>
      <c r="U10" s="735"/>
      <c r="V10" s="735"/>
      <c r="W10" s="735"/>
      <c r="X10" s="735"/>
      <c r="Y10" s="735"/>
      <c r="Z10" s="735"/>
      <c r="AA10" s="735"/>
      <c r="AB10" s="744"/>
      <c r="AC10" s="734" t="s">
        <v>178</v>
      </c>
      <c r="AD10" s="735"/>
      <c r="AE10" s="735"/>
      <c r="AF10" s="735"/>
      <c r="AG10" s="735"/>
      <c r="AH10" s="735"/>
      <c r="AI10" s="735"/>
      <c r="AJ10" s="735"/>
      <c r="AK10" s="736"/>
      <c r="AL10" s="734" t="s">
        <v>179</v>
      </c>
      <c r="AM10" s="735"/>
      <c r="AN10" s="735"/>
      <c r="AO10" s="735"/>
      <c r="AP10" s="735"/>
      <c r="AQ10" s="735"/>
      <c r="AR10" s="735"/>
      <c r="AS10" s="735"/>
      <c r="AT10" s="736"/>
    </row>
    <row r="11" spans="2:46" ht="14.25">
      <c r="B11" s="46" t="s">
        <v>218</v>
      </c>
      <c r="C11" s="47" t="s">
        <v>221</v>
      </c>
      <c r="D11" s="47" t="s">
        <v>222</v>
      </c>
      <c r="E11" s="47" t="s">
        <v>223</v>
      </c>
      <c r="F11" s="47" t="s">
        <v>219</v>
      </c>
      <c r="G11" s="47" t="s">
        <v>224</v>
      </c>
      <c r="H11" s="47" t="s">
        <v>225</v>
      </c>
      <c r="I11" s="47" t="s">
        <v>226</v>
      </c>
      <c r="J11" s="48" t="s">
        <v>227</v>
      </c>
      <c r="K11" s="46" t="s">
        <v>218</v>
      </c>
      <c r="L11" s="47" t="s">
        <v>221</v>
      </c>
      <c r="M11" s="47" t="s">
        <v>222</v>
      </c>
      <c r="N11" s="47" t="s">
        <v>223</v>
      </c>
      <c r="O11" s="47" t="s">
        <v>219</v>
      </c>
      <c r="P11" s="47" t="s">
        <v>224</v>
      </c>
      <c r="Q11" s="47" t="s">
        <v>225</v>
      </c>
      <c r="R11" s="47" t="s">
        <v>226</v>
      </c>
      <c r="S11" s="48" t="s">
        <v>227</v>
      </c>
      <c r="T11" s="46" t="s">
        <v>218</v>
      </c>
      <c r="U11" s="47" t="s">
        <v>221</v>
      </c>
      <c r="V11" s="47" t="s">
        <v>222</v>
      </c>
      <c r="W11" s="47" t="s">
        <v>223</v>
      </c>
      <c r="X11" s="47" t="s">
        <v>219</v>
      </c>
      <c r="Y11" s="47" t="s">
        <v>224</v>
      </c>
      <c r="Z11" s="47" t="s">
        <v>225</v>
      </c>
      <c r="AA11" s="47" t="s">
        <v>226</v>
      </c>
      <c r="AB11" s="48" t="s">
        <v>227</v>
      </c>
      <c r="AC11" s="46" t="s">
        <v>218</v>
      </c>
      <c r="AD11" s="47" t="s">
        <v>221</v>
      </c>
      <c r="AE11" s="47" t="s">
        <v>222</v>
      </c>
      <c r="AF11" s="47" t="s">
        <v>223</v>
      </c>
      <c r="AG11" s="47" t="s">
        <v>219</v>
      </c>
      <c r="AH11" s="47" t="s">
        <v>224</v>
      </c>
      <c r="AI11" s="47" t="s">
        <v>225</v>
      </c>
      <c r="AJ11" s="47" t="s">
        <v>226</v>
      </c>
      <c r="AK11" s="48" t="s">
        <v>227</v>
      </c>
      <c r="AL11" s="46" t="s">
        <v>218</v>
      </c>
      <c r="AM11" s="47" t="s">
        <v>221</v>
      </c>
      <c r="AN11" s="47" t="s">
        <v>222</v>
      </c>
      <c r="AO11" s="47" t="s">
        <v>223</v>
      </c>
      <c r="AP11" s="47" t="s">
        <v>219</v>
      </c>
      <c r="AQ11" s="47" t="s">
        <v>224</v>
      </c>
      <c r="AR11" s="47" t="s">
        <v>225</v>
      </c>
      <c r="AS11" s="47" t="s">
        <v>226</v>
      </c>
      <c r="AT11" s="49" t="s">
        <v>227</v>
      </c>
    </row>
    <row r="12" spans="1:54" ht="13.5" customHeight="1">
      <c r="A12" s="50" t="s">
        <v>180</v>
      </c>
      <c r="B12" s="91"/>
      <c r="C12" s="92"/>
      <c r="D12" s="92"/>
      <c r="E12" s="92"/>
      <c r="F12" s="92"/>
      <c r="G12" s="92"/>
      <c r="H12" s="92"/>
      <c r="I12" s="92"/>
      <c r="J12" s="93"/>
      <c r="K12" s="91"/>
      <c r="L12" s="92"/>
      <c r="M12" s="92"/>
      <c r="N12" s="92"/>
      <c r="O12" s="92"/>
      <c r="P12" s="92"/>
      <c r="Q12" s="92"/>
      <c r="R12" s="92"/>
      <c r="S12" s="93"/>
      <c r="T12" s="91"/>
      <c r="U12" s="92"/>
      <c r="V12" s="92"/>
      <c r="W12" s="92"/>
      <c r="X12" s="92"/>
      <c r="Y12" s="92"/>
      <c r="Z12" s="92"/>
      <c r="AA12" s="92"/>
      <c r="AB12" s="93"/>
      <c r="AC12" s="91"/>
      <c r="AD12" s="92"/>
      <c r="AE12" s="92"/>
      <c r="AF12" s="92"/>
      <c r="AG12" s="92"/>
      <c r="AH12" s="92"/>
      <c r="AI12" s="92"/>
      <c r="AJ12" s="92"/>
      <c r="AK12" s="93"/>
      <c r="AL12" s="91"/>
      <c r="AM12" s="92"/>
      <c r="AN12" s="92"/>
      <c r="AO12" s="92"/>
      <c r="AP12" s="92"/>
      <c r="AQ12" s="92"/>
      <c r="AR12" s="92"/>
      <c r="AS12" s="92"/>
      <c r="AT12" s="94"/>
      <c r="AU12" s="51">
        <f>IF(COUNTIF($AW12:$BA12,"NAPAKA 3")&gt;0,"NAPAKA 3","")</f>
      </c>
      <c r="AW12" s="51">
        <f aca="true" t="shared" si="0" ref="AW12:AW21">IF($BF$26=0,"",IF(COUNTIF(B12:J12,"*")&gt;1,"NAPAKA 3",""))</f>
      </c>
      <c r="AX12" s="51">
        <f aca="true" t="shared" si="1" ref="AX12:AX21">IF($BF$26=0,"",IF(COUNTIF(K12:S12,"*")&gt;1,"NAPAKA 3",""))</f>
      </c>
      <c r="AY12" s="51">
        <f aca="true" t="shared" si="2" ref="AY12:AY21">IF($BF$26=0,"",IF(COUNTIF(T12:AB12,"*")&gt;1,"NAPAKA 3",""))</f>
      </c>
      <c r="AZ12" s="51">
        <f aca="true" t="shared" si="3" ref="AZ12:AZ21">IF($BF$26=0,"",IF(COUNTIF(AC12:AK12,"*")&gt;1,"NAPAKA 3",""))</f>
      </c>
      <c r="BA12" s="51">
        <f aca="true" t="shared" si="4" ref="BA12:BA21">IF($BF$26=0,"",IF(COUNTIF(AL12:AT12,"*")&gt;1,"NAPAKA 3",""))</f>
      </c>
      <c r="BB12" s="4" t="s">
        <v>231</v>
      </c>
    </row>
    <row r="13" spans="1:53" ht="13.5" customHeight="1">
      <c r="A13" s="50" t="s">
        <v>181</v>
      </c>
      <c r="B13" s="95"/>
      <c r="C13" s="96"/>
      <c r="D13" s="96"/>
      <c r="E13" s="96"/>
      <c r="F13" s="96"/>
      <c r="G13" s="96"/>
      <c r="H13" s="96"/>
      <c r="I13" s="96"/>
      <c r="J13" s="97"/>
      <c r="K13" s="95"/>
      <c r="L13" s="96"/>
      <c r="M13" s="96"/>
      <c r="N13" s="96"/>
      <c r="O13" s="96"/>
      <c r="P13" s="96"/>
      <c r="Q13" s="96"/>
      <c r="R13" s="96"/>
      <c r="S13" s="97"/>
      <c r="T13" s="95"/>
      <c r="U13" s="96"/>
      <c r="V13" s="96"/>
      <c r="W13" s="96"/>
      <c r="X13" s="96"/>
      <c r="Y13" s="96"/>
      <c r="Z13" s="96"/>
      <c r="AA13" s="96"/>
      <c r="AB13" s="97"/>
      <c r="AC13" s="95"/>
      <c r="AD13" s="96"/>
      <c r="AE13" s="96"/>
      <c r="AF13" s="96"/>
      <c r="AG13" s="96"/>
      <c r="AH13" s="96"/>
      <c r="AI13" s="96"/>
      <c r="AJ13" s="96"/>
      <c r="AK13" s="97"/>
      <c r="AL13" s="95"/>
      <c r="AM13" s="96"/>
      <c r="AN13" s="96"/>
      <c r="AO13" s="96"/>
      <c r="AP13" s="96"/>
      <c r="AQ13" s="96"/>
      <c r="AR13" s="96"/>
      <c r="AS13" s="96"/>
      <c r="AT13" s="98"/>
      <c r="AU13" s="51">
        <f aca="true" t="shared" si="5" ref="AU13:AU21">IF(COUNTIF($AW13:$BA13,"NAPAKA 3")&gt;0,"NAPAKA 3","")</f>
      </c>
      <c r="AW13" s="51">
        <f t="shared" si="0"/>
      </c>
      <c r="AX13" s="51">
        <f t="shared" si="1"/>
      </c>
      <c r="AY13" s="51">
        <f t="shared" si="2"/>
      </c>
      <c r="AZ13" s="51">
        <f t="shared" si="3"/>
      </c>
      <c r="BA13" s="51">
        <f t="shared" si="4"/>
      </c>
    </row>
    <row r="14" spans="1:53" ht="13.5" customHeight="1">
      <c r="A14" s="50" t="s">
        <v>182</v>
      </c>
      <c r="B14" s="95"/>
      <c r="C14" s="96"/>
      <c r="D14" s="96"/>
      <c r="E14" s="96"/>
      <c r="F14" s="96"/>
      <c r="G14" s="96"/>
      <c r="H14" s="96"/>
      <c r="I14" s="96"/>
      <c r="J14" s="97"/>
      <c r="K14" s="95"/>
      <c r="L14" s="96"/>
      <c r="M14" s="96"/>
      <c r="N14" s="96"/>
      <c r="O14" s="96"/>
      <c r="P14" s="96"/>
      <c r="Q14" s="96"/>
      <c r="R14" s="96"/>
      <c r="S14" s="97"/>
      <c r="T14" s="95"/>
      <c r="U14" s="96"/>
      <c r="V14" s="96"/>
      <c r="W14" s="96"/>
      <c r="X14" s="96"/>
      <c r="Y14" s="96"/>
      <c r="Z14" s="96"/>
      <c r="AA14" s="96"/>
      <c r="AB14" s="97"/>
      <c r="AC14" s="95"/>
      <c r="AD14" s="96"/>
      <c r="AE14" s="96"/>
      <c r="AF14" s="96"/>
      <c r="AG14" s="96"/>
      <c r="AH14" s="96"/>
      <c r="AI14" s="96"/>
      <c r="AJ14" s="96"/>
      <c r="AK14" s="97"/>
      <c r="AL14" s="95"/>
      <c r="AM14" s="96"/>
      <c r="AN14" s="96"/>
      <c r="AO14" s="96"/>
      <c r="AP14" s="96"/>
      <c r="AQ14" s="96"/>
      <c r="AR14" s="96"/>
      <c r="AS14" s="96"/>
      <c r="AT14" s="98"/>
      <c r="AU14" s="51">
        <f t="shared" si="5"/>
      </c>
      <c r="AW14" s="51">
        <f t="shared" si="0"/>
      </c>
      <c r="AX14" s="51">
        <f t="shared" si="1"/>
      </c>
      <c r="AY14" s="51">
        <f t="shared" si="2"/>
      </c>
      <c r="AZ14" s="51">
        <f t="shared" si="3"/>
      </c>
      <c r="BA14" s="51">
        <f t="shared" si="4"/>
      </c>
    </row>
    <row r="15" spans="1:53" ht="13.5" customHeight="1">
      <c r="A15" s="50" t="s">
        <v>183</v>
      </c>
      <c r="B15" s="95"/>
      <c r="C15" s="96"/>
      <c r="D15" s="96"/>
      <c r="E15" s="96"/>
      <c r="F15" s="96"/>
      <c r="G15" s="96"/>
      <c r="H15" s="96"/>
      <c r="I15" s="96"/>
      <c r="J15" s="97"/>
      <c r="K15" s="95"/>
      <c r="L15" s="96"/>
      <c r="M15" s="96"/>
      <c r="N15" s="96"/>
      <c r="O15" s="96"/>
      <c r="P15" s="96"/>
      <c r="Q15" s="96"/>
      <c r="R15" s="96"/>
      <c r="S15" s="97"/>
      <c r="T15" s="95"/>
      <c r="U15" s="96"/>
      <c r="V15" s="96"/>
      <c r="W15" s="96"/>
      <c r="X15" s="96"/>
      <c r="Y15" s="96"/>
      <c r="Z15" s="96"/>
      <c r="AA15" s="96"/>
      <c r="AB15" s="97"/>
      <c r="AC15" s="95"/>
      <c r="AD15" s="96"/>
      <c r="AE15" s="96"/>
      <c r="AF15" s="96"/>
      <c r="AG15" s="96"/>
      <c r="AH15" s="96"/>
      <c r="AI15" s="96"/>
      <c r="AJ15" s="96"/>
      <c r="AK15" s="97"/>
      <c r="AL15" s="95"/>
      <c r="AM15" s="96"/>
      <c r="AN15" s="96"/>
      <c r="AO15" s="96"/>
      <c r="AP15" s="96"/>
      <c r="AQ15" s="96"/>
      <c r="AR15" s="96"/>
      <c r="AS15" s="96"/>
      <c r="AT15" s="98"/>
      <c r="AU15" s="51">
        <f t="shared" si="5"/>
      </c>
      <c r="AW15" s="51">
        <f t="shared" si="0"/>
      </c>
      <c r="AX15" s="51">
        <f t="shared" si="1"/>
      </c>
      <c r="AY15" s="51">
        <f t="shared" si="2"/>
      </c>
      <c r="AZ15" s="51">
        <f t="shared" si="3"/>
      </c>
      <c r="BA15" s="51">
        <f t="shared" si="4"/>
      </c>
    </row>
    <row r="16" spans="1:53" ht="13.5" customHeight="1">
      <c r="A16" s="50" t="s">
        <v>184</v>
      </c>
      <c r="B16" s="95"/>
      <c r="C16" s="96"/>
      <c r="D16" s="96"/>
      <c r="E16" s="96"/>
      <c r="F16" s="96"/>
      <c r="G16" s="96"/>
      <c r="H16" s="96"/>
      <c r="I16" s="96"/>
      <c r="J16" s="97"/>
      <c r="K16" s="95"/>
      <c r="L16" s="96"/>
      <c r="M16" s="96"/>
      <c r="N16" s="96"/>
      <c r="O16" s="96"/>
      <c r="P16" s="96"/>
      <c r="Q16" s="96"/>
      <c r="R16" s="96"/>
      <c r="S16" s="97"/>
      <c r="T16" s="95"/>
      <c r="U16" s="96"/>
      <c r="V16" s="96"/>
      <c r="W16" s="96"/>
      <c r="X16" s="96"/>
      <c r="Y16" s="96"/>
      <c r="Z16" s="96"/>
      <c r="AA16" s="96"/>
      <c r="AB16" s="97"/>
      <c r="AC16" s="95"/>
      <c r="AD16" s="96"/>
      <c r="AE16" s="96"/>
      <c r="AF16" s="96"/>
      <c r="AG16" s="96"/>
      <c r="AH16" s="96"/>
      <c r="AI16" s="96"/>
      <c r="AJ16" s="96"/>
      <c r="AK16" s="97"/>
      <c r="AL16" s="95"/>
      <c r="AM16" s="96"/>
      <c r="AN16" s="96"/>
      <c r="AO16" s="96"/>
      <c r="AP16" s="96"/>
      <c r="AQ16" s="96"/>
      <c r="AR16" s="96"/>
      <c r="AS16" s="96"/>
      <c r="AT16" s="98"/>
      <c r="AU16" s="51">
        <f t="shared" si="5"/>
      </c>
      <c r="AW16" s="51">
        <f t="shared" si="0"/>
      </c>
      <c r="AX16" s="51">
        <f t="shared" si="1"/>
      </c>
      <c r="AY16" s="51">
        <f t="shared" si="2"/>
      </c>
      <c r="AZ16" s="51">
        <f t="shared" si="3"/>
      </c>
      <c r="BA16" s="51">
        <f t="shared" si="4"/>
      </c>
    </row>
    <row r="17" spans="1:53" ht="13.5" customHeight="1">
      <c r="A17" s="50" t="s">
        <v>185</v>
      </c>
      <c r="B17" s="95"/>
      <c r="C17" s="96"/>
      <c r="D17" s="96"/>
      <c r="E17" s="96"/>
      <c r="F17" s="96"/>
      <c r="G17" s="96"/>
      <c r="H17" s="96"/>
      <c r="I17" s="96"/>
      <c r="J17" s="97"/>
      <c r="K17" s="95"/>
      <c r="L17" s="96"/>
      <c r="M17" s="96"/>
      <c r="N17" s="96"/>
      <c r="O17" s="96"/>
      <c r="P17" s="96"/>
      <c r="Q17" s="96"/>
      <c r="R17" s="96"/>
      <c r="S17" s="97"/>
      <c r="T17" s="95"/>
      <c r="U17" s="96"/>
      <c r="V17" s="96"/>
      <c r="W17" s="96"/>
      <c r="X17" s="96"/>
      <c r="Y17" s="96"/>
      <c r="Z17" s="96"/>
      <c r="AA17" s="96"/>
      <c r="AB17" s="97"/>
      <c r="AC17" s="95"/>
      <c r="AD17" s="96"/>
      <c r="AE17" s="96"/>
      <c r="AF17" s="96"/>
      <c r="AG17" s="96"/>
      <c r="AH17" s="96"/>
      <c r="AI17" s="96"/>
      <c r="AJ17" s="96"/>
      <c r="AK17" s="97"/>
      <c r="AL17" s="95"/>
      <c r="AM17" s="96"/>
      <c r="AN17" s="96"/>
      <c r="AO17" s="96"/>
      <c r="AP17" s="96"/>
      <c r="AQ17" s="96"/>
      <c r="AR17" s="96"/>
      <c r="AS17" s="96"/>
      <c r="AT17" s="98"/>
      <c r="AU17" s="51">
        <f t="shared" si="5"/>
      </c>
      <c r="AW17" s="51">
        <f t="shared" si="0"/>
      </c>
      <c r="AX17" s="51">
        <f t="shared" si="1"/>
      </c>
      <c r="AY17" s="51">
        <f t="shared" si="2"/>
      </c>
      <c r="AZ17" s="51">
        <f t="shared" si="3"/>
      </c>
      <c r="BA17" s="51">
        <f t="shared" si="4"/>
      </c>
    </row>
    <row r="18" spans="1:53" ht="13.5" customHeight="1">
      <c r="A18" s="50" t="s">
        <v>186</v>
      </c>
      <c r="B18" s="95"/>
      <c r="C18" s="96"/>
      <c r="D18" s="96"/>
      <c r="E18" s="96"/>
      <c r="F18" s="96"/>
      <c r="G18" s="96"/>
      <c r="H18" s="96"/>
      <c r="I18" s="96"/>
      <c r="J18" s="97"/>
      <c r="K18" s="95"/>
      <c r="L18" s="96"/>
      <c r="M18" s="96"/>
      <c r="N18" s="96"/>
      <c r="O18" s="96"/>
      <c r="P18" s="96"/>
      <c r="Q18" s="96"/>
      <c r="R18" s="96"/>
      <c r="S18" s="97"/>
      <c r="T18" s="95"/>
      <c r="U18" s="96"/>
      <c r="V18" s="96"/>
      <c r="W18" s="96"/>
      <c r="X18" s="96"/>
      <c r="Y18" s="96"/>
      <c r="Z18" s="96"/>
      <c r="AA18" s="96"/>
      <c r="AB18" s="97"/>
      <c r="AC18" s="95"/>
      <c r="AD18" s="96"/>
      <c r="AE18" s="96"/>
      <c r="AF18" s="96"/>
      <c r="AG18" s="96"/>
      <c r="AH18" s="96"/>
      <c r="AI18" s="96"/>
      <c r="AJ18" s="96"/>
      <c r="AK18" s="97"/>
      <c r="AL18" s="95"/>
      <c r="AM18" s="96"/>
      <c r="AN18" s="96"/>
      <c r="AO18" s="96"/>
      <c r="AP18" s="96"/>
      <c r="AQ18" s="96"/>
      <c r="AR18" s="96"/>
      <c r="AS18" s="96"/>
      <c r="AT18" s="98"/>
      <c r="AU18" s="51">
        <f t="shared" si="5"/>
      </c>
      <c r="AW18" s="51">
        <f t="shared" si="0"/>
      </c>
      <c r="AX18" s="51">
        <f t="shared" si="1"/>
      </c>
      <c r="AY18" s="51">
        <f t="shared" si="2"/>
      </c>
      <c r="AZ18" s="51">
        <f t="shared" si="3"/>
      </c>
      <c r="BA18" s="51">
        <f t="shared" si="4"/>
      </c>
    </row>
    <row r="19" spans="1:53" ht="13.5" customHeight="1">
      <c r="A19" s="50" t="s">
        <v>187</v>
      </c>
      <c r="B19" s="95"/>
      <c r="C19" s="96"/>
      <c r="D19" s="96"/>
      <c r="E19" s="96"/>
      <c r="F19" s="96"/>
      <c r="G19" s="96"/>
      <c r="H19" s="96"/>
      <c r="I19" s="96"/>
      <c r="J19" s="97"/>
      <c r="K19" s="95"/>
      <c r="L19" s="96"/>
      <c r="M19" s="96"/>
      <c r="N19" s="96"/>
      <c r="O19" s="96"/>
      <c r="P19" s="96"/>
      <c r="Q19" s="96"/>
      <c r="R19" s="96"/>
      <c r="S19" s="97"/>
      <c r="T19" s="95"/>
      <c r="U19" s="96"/>
      <c r="V19" s="96"/>
      <c r="W19" s="96"/>
      <c r="X19" s="96"/>
      <c r="Y19" s="96"/>
      <c r="Z19" s="96"/>
      <c r="AA19" s="96"/>
      <c r="AB19" s="97"/>
      <c r="AC19" s="95"/>
      <c r="AD19" s="96"/>
      <c r="AE19" s="96"/>
      <c r="AF19" s="96"/>
      <c r="AG19" s="96"/>
      <c r="AH19" s="96"/>
      <c r="AI19" s="96"/>
      <c r="AJ19" s="96"/>
      <c r="AK19" s="97"/>
      <c r="AL19" s="95"/>
      <c r="AM19" s="96"/>
      <c r="AN19" s="96"/>
      <c r="AO19" s="96"/>
      <c r="AP19" s="96"/>
      <c r="AQ19" s="96"/>
      <c r="AR19" s="96"/>
      <c r="AS19" s="96"/>
      <c r="AT19" s="98"/>
      <c r="AU19" s="51">
        <f t="shared" si="5"/>
      </c>
      <c r="AW19" s="51">
        <f t="shared" si="0"/>
      </c>
      <c r="AX19" s="51">
        <f t="shared" si="1"/>
      </c>
      <c r="AY19" s="51">
        <f t="shared" si="2"/>
      </c>
      <c r="AZ19" s="51">
        <f t="shared" si="3"/>
      </c>
      <c r="BA19" s="51">
        <f t="shared" si="4"/>
      </c>
    </row>
    <row r="20" spans="1:53" ht="13.5" customHeight="1">
      <c r="A20" s="50" t="s">
        <v>188</v>
      </c>
      <c r="B20" s="95"/>
      <c r="C20" s="96"/>
      <c r="D20" s="96"/>
      <c r="E20" s="96"/>
      <c r="F20" s="96"/>
      <c r="G20" s="96"/>
      <c r="H20" s="96"/>
      <c r="I20" s="96"/>
      <c r="J20" s="97"/>
      <c r="K20" s="95"/>
      <c r="L20" s="96"/>
      <c r="M20" s="96"/>
      <c r="N20" s="96"/>
      <c r="O20" s="96"/>
      <c r="P20" s="96"/>
      <c r="Q20" s="96"/>
      <c r="R20" s="96"/>
      <c r="S20" s="97"/>
      <c r="T20" s="95"/>
      <c r="U20" s="96"/>
      <c r="V20" s="96"/>
      <c r="W20" s="96"/>
      <c r="X20" s="96"/>
      <c r="Y20" s="96"/>
      <c r="Z20" s="96"/>
      <c r="AA20" s="96"/>
      <c r="AB20" s="97"/>
      <c r="AC20" s="95"/>
      <c r="AD20" s="96"/>
      <c r="AE20" s="96"/>
      <c r="AF20" s="96"/>
      <c r="AG20" s="96"/>
      <c r="AH20" s="96"/>
      <c r="AI20" s="96"/>
      <c r="AJ20" s="96"/>
      <c r="AK20" s="97"/>
      <c r="AL20" s="95"/>
      <c r="AM20" s="96"/>
      <c r="AN20" s="96"/>
      <c r="AO20" s="96"/>
      <c r="AP20" s="96"/>
      <c r="AQ20" s="96"/>
      <c r="AR20" s="96"/>
      <c r="AS20" s="96"/>
      <c r="AT20" s="98"/>
      <c r="AU20" s="51">
        <f t="shared" si="5"/>
      </c>
      <c r="AW20" s="51">
        <f t="shared" si="0"/>
      </c>
      <c r="AX20" s="51">
        <f t="shared" si="1"/>
      </c>
      <c r="AY20" s="51">
        <f t="shared" si="2"/>
      </c>
      <c r="AZ20" s="51">
        <f t="shared" si="3"/>
      </c>
      <c r="BA20" s="51">
        <f t="shared" si="4"/>
      </c>
    </row>
    <row r="21" spans="1:53" ht="13.5" customHeight="1">
      <c r="A21" s="52"/>
      <c r="B21" s="99"/>
      <c r="C21" s="100"/>
      <c r="D21" s="100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0"/>
      <c r="R21" s="100"/>
      <c r="S21" s="101"/>
      <c r="T21" s="99"/>
      <c r="U21" s="100"/>
      <c r="V21" s="100"/>
      <c r="W21" s="100"/>
      <c r="X21" s="100"/>
      <c r="Y21" s="100"/>
      <c r="Z21" s="100"/>
      <c r="AA21" s="100"/>
      <c r="AB21" s="101"/>
      <c r="AC21" s="102"/>
      <c r="AD21" s="100"/>
      <c r="AE21" s="100"/>
      <c r="AF21" s="100"/>
      <c r="AG21" s="100"/>
      <c r="AH21" s="100"/>
      <c r="AI21" s="100"/>
      <c r="AJ21" s="100"/>
      <c r="AK21" s="101"/>
      <c r="AL21" s="102"/>
      <c r="AM21" s="100"/>
      <c r="AN21" s="100"/>
      <c r="AO21" s="100"/>
      <c r="AP21" s="100"/>
      <c r="AQ21" s="100"/>
      <c r="AR21" s="100"/>
      <c r="AS21" s="100"/>
      <c r="AT21" s="103"/>
      <c r="AU21" s="51">
        <f t="shared" si="5"/>
      </c>
      <c r="AW21" s="51">
        <f t="shared" si="0"/>
      </c>
      <c r="AX21" s="51">
        <f t="shared" si="1"/>
      </c>
      <c r="AY21" s="51">
        <f t="shared" si="2"/>
      </c>
      <c r="AZ21" s="51">
        <f t="shared" si="3"/>
      </c>
      <c r="BA21" s="51">
        <f t="shared" si="4"/>
      </c>
    </row>
    <row r="22" spans="1:53" ht="13.5" customHeight="1">
      <c r="A22" s="52"/>
      <c r="B22" s="731" t="s">
        <v>255</v>
      </c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3"/>
      <c r="AT22" s="53">
        <f>BF26</f>
        <v>0</v>
      </c>
      <c r="AW22" s="51"/>
      <c r="AX22" s="51"/>
      <c r="AY22" s="51"/>
      <c r="AZ22" s="51"/>
      <c r="BA22" s="51"/>
    </row>
    <row r="23" spans="1:53" ht="13.5" customHeight="1">
      <c r="A23" s="52"/>
      <c r="B23" s="731" t="s">
        <v>256</v>
      </c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3"/>
      <c r="AT23" s="53">
        <f>AH6*AT22</f>
        <v>0</v>
      </c>
      <c r="AW23" s="51"/>
      <c r="AX23" s="51"/>
      <c r="AY23" s="51"/>
      <c r="AZ23" s="51"/>
      <c r="BA23" s="51"/>
    </row>
    <row r="24" spans="2:58" ht="13.5" customHeight="1">
      <c r="B24" s="54" t="str">
        <f aca="true" t="shared" si="6" ref="B24:AT24">IF(AND(B46="",B47="",B48="",B49="",B50="",B51="",B52="",B53="",B54="",B55="")," ","NAPAKA 1")</f>
        <v> </v>
      </c>
      <c r="C24" s="54" t="str">
        <f t="shared" si="6"/>
        <v> </v>
      </c>
      <c r="D24" s="54" t="str">
        <f t="shared" si="6"/>
        <v> </v>
      </c>
      <c r="E24" s="54" t="str">
        <f t="shared" si="6"/>
        <v> </v>
      </c>
      <c r="F24" s="54" t="str">
        <f t="shared" si="6"/>
        <v> </v>
      </c>
      <c r="G24" s="54" t="str">
        <f t="shared" si="6"/>
        <v> </v>
      </c>
      <c r="H24" s="54" t="str">
        <f t="shared" si="6"/>
        <v> </v>
      </c>
      <c r="I24" s="54" t="str">
        <f t="shared" si="6"/>
        <v> </v>
      </c>
      <c r="J24" s="54" t="str">
        <f t="shared" si="6"/>
        <v> </v>
      </c>
      <c r="K24" s="54" t="str">
        <f t="shared" si="6"/>
        <v> </v>
      </c>
      <c r="L24" s="54" t="str">
        <f t="shared" si="6"/>
        <v> </v>
      </c>
      <c r="M24" s="54" t="str">
        <f t="shared" si="6"/>
        <v> </v>
      </c>
      <c r="N24" s="54" t="str">
        <f t="shared" si="6"/>
        <v> </v>
      </c>
      <c r="O24" s="54" t="str">
        <f t="shared" si="6"/>
        <v> </v>
      </c>
      <c r="P24" s="54" t="str">
        <f t="shared" si="6"/>
        <v> </v>
      </c>
      <c r="Q24" s="54" t="str">
        <f t="shared" si="6"/>
        <v> </v>
      </c>
      <c r="R24" s="54" t="str">
        <f t="shared" si="6"/>
        <v> </v>
      </c>
      <c r="S24" s="54" t="str">
        <f t="shared" si="6"/>
        <v> </v>
      </c>
      <c r="T24" s="54" t="str">
        <f t="shared" si="6"/>
        <v> </v>
      </c>
      <c r="U24" s="54" t="str">
        <f t="shared" si="6"/>
        <v> </v>
      </c>
      <c r="V24" s="54" t="str">
        <f t="shared" si="6"/>
        <v> </v>
      </c>
      <c r="W24" s="54" t="str">
        <f t="shared" si="6"/>
        <v> </v>
      </c>
      <c r="X24" s="54" t="str">
        <f t="shared" si="6"/>
        <v> </v>
      </c>
      <c r="Y24" s="54" t="str">
        <f t="shared" si="6"/>
        <v> </v>
      </c>
      <c r="Z24" s="54" t="str">
        <f t="shared" si="6"/>
        <v> </v>
      </c>
      <c r="AA24" s="54" t="str">
        <f t="shared" si="6"/>
        <v> </v>
      </c>
      <c r="AB24" s="54" t="str">
        <f t="shared" si="6"/>
        <v> </v>
      </c>
      <c r="AC24" s="54" t="str">
        <f t="shared" si="6"/>
        <v> </v>
      </c>
      <c r="AD24" s="54" t="str">
        <f t="shared" si="6"/>
        <v> </v>
      </c>
      <c r="AE24" s="54" t="str">
        <f t="shared" si="6"/>
        <v> </v>
      </c>
      <c r="AF24" s="54" t="str">
        <f t="shared" si="6"/>
        <v> </v>
      </c>
      <c r="AG24" s="54" t="str">
        <f t="shared" si="6"/>
        <v> </v>
      </c>
      <c r="AH24" s="54" t="str">
        <f t="shared" si="6"/>
        <v> </v>
      </c>
      <c r="AI24" s="54" t="str">
        <f t="shared" si="6"/>
        <v> </v>
      </c>
      <c r="AJ24" s="54" t="str">
        <f t="shared" si="6"/>
        <v> </v>
      </c>
      <c r="AK24" s="54" t="str">
        <f t="shared" si="6"/>
        <v> </v>
      </c>
      <c r="AL24" s="54" t="str">
        <f t="shared" si="6"/>
        <v> </v>
      </c>
      <c r="AM24" s="54" t="str">
        <f t="shared" si="6"/>
        <v> </v>
      </c>
      <c r="AN24" s="54" t="str">
        <f t="shared" si="6"/>
        <v> </v>
      </c>
      <c r="AO24" s="54" t="str">
        <f t="shared" si="6"/>
        <v> </v>
      </c>
      <c r="AP24" s="54" t="str">
        <f t="shared" si="6"/>
        <v> </v>
      </c>
      <c r="AQ24" s="54" t="str">
        <f t="shared" si="6"/>
        <v> </v>
      </c>
      <c r="AR24" s="54" t="str">
        <f t="shared" si="6"/>
        <v> </v>
      </c>
      <c r="AS24" s="54" t="str">
        <f t="shared" si="6"/>
        <v> </v>
      </c>
      <c r="AT24" s="54" t="str">
        <f t="shared" si="6"/>
        <v> </v>
      </c>
      <c r="AV24" s="51"/>
      <c r="BF24" s="51">
        <f>IF(COUNTIF($B$24:$AT$24,"NAPAKA 1")&gt;0,"NAPAKA 1","")</f>
      </c>
    </row>
    <row r="25" spans="1:58" ht="13.5" customHeight="1" hidden="1">
      <c r="A25" s="5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BF25" s="51">
        <f>IF(COUNTIF($AU$12:$AU$21,"NAPAKA 3")&gt;0,"NAPAKA 3","")</f>
      </c>
    </row>
    <row r="26" spans="2:58" ht="14.25" hidden="1">
      <c r="B26" s="55">
        <f>B34-((ROWS(B36:B44)-COUNTIF(B36:B44,"&lt;&gt;"&amp;"*"))-COUNTIF(B36:B44,""))</f>
        <v>0</v>
      </c>
      <c r="C26" s="184">
        <f aca="true" t="shared" si="7" ref="C26:AT26">C34-((ROWS(C36:C44)-COUNTIF(C36:C44,"&lt;&gt;"&amp;"*"))-COUNTIF(C36:C44,""))</f>
        <v>0</v>
      </c>
      <c r="D26" s="184">
        <f t="shared" si="7"/>
        <v>0</v>
      </c>
      <c r="E26" s="184">
        <f t="shared" si="7"/>
        <v>0</v>
      </c>
      <c r="F26" s="184">
        <f t="shared" si="7"/>
        <v>0</v>
      </c>
      <c r="G26" s="184">
        <f t="shared" si="7"/>
        <v>0</v>
      </c>
      <c r="H26" s="184">
        <f t="shared" si="7"/>
        <v>0</v>
      </c>
      <c r="I26" s="184">
        <f t="shared" si="7"/>
        <v>0</v>
      </c>
      <c r="J26" s="184">
        <f t="shared" si="7"/>
        <v>0</v>
      </c>
      <c r="K26" s="184">
        <f t="shared" si="7"/>
        <v>0</v>
      </c>
      <c r="L26" s="184">
        <f t="shared" si="7"/>
        <v>0</v>
      </c>
      <c r="M26" s="184">
        <f t="shared" si="7"/>
        <v>0</v>
      </c>
      <c r="N26" s="184">
        <f t="shared" si="7"/>
        <v>0</v>
      </c>
      <c r="O26" s="184">
        <f t="shared" si="7"/>
        <v>0</v>
      </c>
      <c r="P26" s="184">
        <f t="shared" si="7"/>
        <v>0</v>
      </c>
      <c r="Q26" s="184">
        <f t="shared" si="7"/>
        <v>0</v>
      </c>
      <c r="R26" s="184">
        <f t="shared" si="7"/>
        <v>0</v>
      </c>
      <c r="S26" s="184">
        <f t="shared" si="7"/>
        <v>0</v>
      </c>
      <c r="T26" s="184">
        <f t="shared" si="7"/>
        <v>0</v>
      </c>
      <c r="U26" s="184">
        <f t="shared" si="7"/>
        <v>0</v>
      </c>
      <c r="V26" s="184">
        <f t="shared" si="7"/>
        <v>0</v>
      </c>
      <c r="W26" s="184">
        <f t="shared" si="7"/>
        <v>0</v>
      </c>
      <c r="X26" s="184">
        <f t="shared" si="7"/>
        <v>0</v>
      </c>
      <c r="Y26" s="184">
        <f t="shared" si="7"/>
        <v>0</v>
      </c>
      <c r="Z26" s="184">
        <f t="shared" si="7"/>
        <v>0</v>
      </c>
      <c r="AA26" s="184">
        <f t="shared" si="7"/>
        <v>0</v>
      </c>
      <c r="AB26" s="184">
        <f t="shared" si="7"/>
        <v>0</v>
      </c>
      <c r="AC26" s="184">
        <f t="shared" si="7"/>
        <v>0</v>
      </c>
      <c r="AD26" s="184">
        <f t="shared" si="7"/>
        <v>0</v>
      </c>
      <c r="AE26" s="184">
        <f t="shared" si="7"/>
        <v>0</v>
      </c>
      <c r="AF26" s="184">
        <f t="shared" si="7"/>
        <v>0</v>
      </c>
      <c r="AG26" s="184">
        <f t="shared" si="7"/>
        <v>0</v>
      </c>
      <c r="AH26" s="184">
        <f t="shared" si="7"/>
        <v>0</v>
      </c>
      <c r="AI26" s="184">
        <f t="shared" si="7"/>
        <v>0</v>
      </c>
      <c r="AJ26" s="184">
        <f t="shared" si="7"/>
        <v>0</v>
      </c>
      <c r="AK26" s="184">
        <f t="shared" si="7"/>
        <v>0</v>
      </c>
      <c r="AL26" s="184">
        <f t="shared" si="7"/>
        <v>0</v>
      </c>
      <c r="AM26" s="184">
        <f t="shared" si="7"/>
        <v>0</v>
      </c>
      <c r="AN26" s="184">
        <f t="shared" si="7"/>
        <v>0</v>
      </c>
      <c r="AO26" s="184">
        <f t="shared" si="7"/>
        <v>0</v>
      </c>
      <c r="AP26" s="184">
        <f t="shared" si="7"/>
        <v>0</v>
      </c>
      <c r="AQ26" s="184">
        <f t="shared" si="7"/>
        <v>0</v>
      </c>
      <c r="AR26" s="184">
        <f t="shared" si="7"/>
        <v>0</v>
      </c>
      <c r="AS26" s="184">
        <f t="shared" si="7"/>
        <v>0</v>
      </c>
      <c r="AT26" s="184">
        <f t="shared" si="7"/>
        <v>0</v>
      </c>
      <c r="AV26" s="55"/>
      <c r="BF26" s="55">
        <f>SUM(B26:AT26)</f>
        <v>0</v>
      </c>
    </row>
    <row r="27" spans="1:46" ht="13.5" customHeight="1" hidden="1">
      <c r="A27" s="52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ht="13.5" customHeight="1">
      <c r="A28" s="5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ht="13.5" customHeight="1">
      <c r="A29" s="57">
        <f>IF(BF26=0,"",IF(BF24&lt;&gt;"","NAPAKA: V stolpcu z oznako NAPAKA 1 ena imed skupin ni vnesena pod pravi razred oziroma je oznaka skupine napačna. POPRAVITE !",""))</f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1:46" ht="13.5" customHeight="1">
      <c r="A30" s="57">
        <f>IF(BF26=0,"",IF(AND(C68="",F68="",H68="",J68="",M68="",O68="",Q68="",T68="",V68=""),"","NAPAKA: Pri razredu oziroma kombinaciji razredov kjer se pojavi NAPAKA 2 ste v urnik vpisali preveč ur glede na dovoljeno število ur in prijavljeno število vadbenih skupin. POPRAVITE !"))</f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46" ht="13.5" customHeight="1">
      <c r="A31" s="57">
        <f>IF(BF26=0,"",IF(BF25="","","NAPAKA: V vrstici z oznako NAPAKA 3 ste v enem izmed dni v tednu pod isto uro vpisali dve vadbeni skupini. POPRAVITE !"))</f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1:46" ht="13.5" customHeight="1">
      <c r="A32" s="5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1:46" ht="13.5" customHeight="1" hidden="1">
      <c r="A33" s="52" t="s">
        <v>232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8" customFormat="1" ht="14.25" customHeight="1" hidden="1">
      <c r="B34" s="183">
        <f>COUNTIF(B$12:B$21,"*")</f>
        <v>0</v>
      </c>
      <c r="C34" s="183">
        <f>COUNTIF(C$12:C$21,"*")</f>
        <v>0</v>
      </c>
      <c r="D34" s="183">
        <f aca="true" t="shared" si="8" ref="D34:AT34">COUNTIF(D$12:D$21,"*")</f>
        <v>0</v>
      </c>
      <c r="E34" s="183">
        <f t="shared" si="8"/>
        <v>0</v>
      </c>
      <c r="F34" s="183">
        <f t="shared" si="8"/>
        <v>0</v>
      </c>
      <c r="G34" s="183">
        <f t="shared" si="8"/>
        <v>0</v>
      </c>
      <c r="H34" s="183">
        <f t="shared" si="8"/>
        <v>0</v>
      </c>
      <c r="I34" s="183">
        <f t="shared" si="8"/>
        <v>0</v>
      </c>
      <c r="J34" s="183">
        <f t="shared" si="8"/>
        <v>0</v>
      </c>
      <c r="K34" s="183">
        <f t="shared" si="8"/>
        <v>0</v>
      </c>
      <c r="L34" s="183">
        <f t="shared" si="8"/>
        <v>0</v>
      </c>
      <c r="M34" s="183">
        <f t="shared" si="8"/>
        <v>0</v>
      </c>
      <c r="N34" s="183">
        <f t="shared" si="8"/>
        <v>0</v>
      </c>
      <c r="O34" s="183">
        <f t="shared" si="8"/>
        <v>0</v>
      </c>
      <c r="P34" s="183">
        <f t="shared" si="8"/>
        <v>0</v>
      </c>
      <c r="Q34" s="183">
        <f t="shared" si="8"/>
        <v>0</v>
      </c>
      <c r="R34" s="183">
        <f t="shared" si="8"/>
        <v>0</v>
      </c>
      <c r="S34" s="183">
        <f t="shared" si="8"/>
        <v>0</v>
      </c>
      <c r="T34" s="183">
        <f t="shared" si="8"/>
        <v>0</v>
      </c>
      <c r="U34" s="183">
        <f t="shared" si="8"/>
        <v>0</v>
      </c>
      <c r="V34" s="183">
        <f t="shared" si="8"/>
        <v>0</v>
      </c>
      <c r="W34" s="183">
        <f t="shared" si="8"/>
        <v>0</v>
      </c>
      <c r="X34" s="183">
        <f t="shared" si="8"/>
        <v>0</v>
      </c>
      <c r="Y34" s="183">
        <f t="shared" si="8"/>
        <v>0</v>
      </c>
      <c r="Z34" s="183">
        <f t="shared" si="8"/>
        <v>0</v>
      </c>
      <c r="AA34" s="183">
        <f t="shared" si="8"/>
        <v>0</v>
      </c>
      <c r="AB34" s="183">
        <f t="shared" si="8"/>
        <v>0</v>
      </c>
      <c r="AC34" s="183">
        <f t="shared" si="8"/>
        <v>0</v>
      </c>
      <c r="AD34" s="183">
        <f t="shared" si="8"/>
        <v>0</v>
      </c>
      <c r="AE34" s="183">
        <f t="shared" si="8"/>
        <v>0</v>
      </c>
      <c r="AF34" s="183">
        <f t="shared" si="8"/>
        <v>0</v>
      </c>
      <c r="AG34" s="183">
        <f t="shared" si="8"/>
        <v>0</v>
      </c>
      <c r="AH34" s="183">
        <f t="shared" si="8"/>
        <v>0</v>
      </c>
      <c r="AI34" s="183">
        <f t="shared" si="8"/>
        <v>0</v>
      </c>
      <c r="AJ34" s="183">
        <f t="shared" si="8"/>
        <v>0</v>
      </c>
      <c r="AK34" s="183">
        <f t="shared" si="8"/>
        <v>0</v>
      </c>
      <c r="AL34" s="183">
        <f t="shared" si="8"/>
        <v>0</v>
      </c>
      <c r="AM34" s="183">
        <f t="shared" si="8"/>
        <v>0</v>
      </c>
      <c r="AN34" s="183">
        <f t="shared" si="8"/>
        <v>0</v>
      </c>
      <c r="AO34" s="183">
        <f t="shared" si="8"/>
        <v>0</v>
      </c>
      <c r="AP34" s="183">
        <f t="shared" si="8"/>
        <v>0</v>
      </c>
      <c r="AQ34" s="183">
        <f t="shared" si="8"/>
        <v>0</v>
      </c>
      <c r="AR34" s="183">
        <f t="shared" si="8"/>
        <v>0</v>
      </c>
      <c r="AS34" s="183">
        <f t="shared" si="8"/>
        <v>0</v>
      </c>
      <c r="AT34" s="183">
        <f t="shared" si="8"/>
        <v>0</v>
      </c>
    </row>
    <row r="35" ht="14.25" hidden="1"/>
    <row r="36" spans="2:46" ht="14.25" hidden="1">
      <c r="B36" s="184">
        <f aca="true" t="shared" si="9" ref="B36:AT36">IF(OR(B12=B13,B12=B14,B12=B15,B12=B16,B12=B17,B12=B18,B12=B19,B12=B20,B12=B21),B12,"")</f>
        <v>0</v>
      </c>
      <c r="C36" s="184">
        <f t="shared" si="9"/>
        <v>0</v>
      </c>
      <c r="D36" s="184">
        <f t="shared" si="9"/>
        <v>0</v>
      </c>
      <c r="E36" s="184">
        <f t="shared" si="9"/>
        <v>0</v>
      </c>
      <c r="F36" s="184">
        <f t="shared" si="9"/>
        <v>0</v>
      </c>
      <c r="G36" s="184">
        <f t="shared" si="9"/>
        <v>0</v>
      </c>
      <c r="H36" s="184">
        <f t="shared" si="9"/>
        <v>0</v>
      </c>
      <c r="I36" s="184">
        <f t="shared" si="9"/>
        <v>0</v>
      </c>
      <c r="J36" s="184">
        <f t="shared" si="9"/>
        <v>0</v>
      </c>
      <c r="K36" s="184">
        <f t="shared" si="9"/>
        <v>0</v>
      </c>
      <c r="L36" s="184">
        <f t="shared" si="9"/>
        <v>0</v>
      </c>
      <c r="M36" s="184">
        <f t="shared" si="9"/>
        <v>0</v>
      </c>
      <c r="N36" s="184">
        <f t="shared" si="9"/>
        <v>0</v>
      </c>
      <c r="O36" s="184">
        <f t="shared" si="9"/>
        <v>0</v>
      </c>
      <c r="P36" s="184">
        <f t="shared" si="9"/>
        <v>0</v>
      </c>
      <c r="Q36" s="184">
        <f t="shared" si="9"/>
        <v>0</v>
      </c>
      <c r="R36" s="184">
        <f t="shared" si="9"/>
        <v>0</v>
      </c>
      <c r="S36" s="184">
        <f t="shared" si="9"/>
        <v>0</v>
      </c>
      <c r="T36" s="184">
        <f t="shared" si="9"/>
        <v>0</v>
      </c>
      <c r="U36" s="184">
        <f t="shared" si="9"/>
        <v>0</v>
      </c>
      <c r="V36" s="184">
        <f t="shared" si="9"/>
        <v>0</v>
      </c>
      <c r="W36" s="184">
        <f t="shared" si="9"/>
        <v>0</v>
      </c>
      <c r="X36" s="184">
        <f t="shared" si="9"/>
        <v>0</v>
      </c>
      <c r="Y36" s="184">
        <f t="shared" si="9"/>
        <v>0</v>
      </c>
      <c r="Z36" s="184">
        <f t="shared" si="9"/>
        <v>0</v>
      </c>
      <c r="AA36" s="184">
        <f t="shared" si="9"/>
        <v>0</v>
      </c>
      <c r="AB36" s="184">
        <f t="shared" si="9"/>
        <v>0</v>
      </c>
      <c r="AC36" s="184">
        <f t="shared" si="9"/>
        <v>0</v>
      </c>
      <c r="AD36" s="184">
        <f t="shared" si="9"/>
        <v>0</v>
      </c>
      <c r="AE36" s="184">
        <f t="shared" si="9"/>
        <v>0</v>
      </c>
      <c r="AF36" s="184">
        <f t="shared" si="9"/>
        <v>0</v>
      </c>
      <c r="AG36" s="184">
        <f t="shared" si="9"/>
        <v>0</v>
      </c>
      <c r="AH36" s="184">
        <f t="shared" si="9"/>
        <v>0</v>
      </c>
      <c r="AI36" s="184">
        <f t="shared" si="9"/>
        <v>0</v>
      </c>
      <c r="AJ36" s="184">
        <f t="shared" si="9"/>
        <v>0</v>
      </c>
      <c r="AK36" s="184">
        <f t="shared" si="9"/>
        <v>0</v>
      </c>
      <c r="AL36" s="184">
        <f t="shared" si="9"/>
        <v>0</v>
      </c>
      <c r="AM36" s="184">
        <f t="shared" si="9"/>
        <v>0</v>
      </c>
      <c r="AN36" s="184">
        <f t="shared" si="9"/>
        <v>0</v>
      </c>
      <c r="AO36" s="184">
        <f t="shared" si="9"/>
        <v>0</v>
      </c>
      <c r="AP36" s="184">
        <f t="shared" si="9"/>
        <v>0</v>
      </c>
      <c r="AQ36" s="184">
        <f t="shared" si="9"/>
        <v>0</v>
      </c>
      <c r="AR36" s="184">
        <f t="shared" si="9"/>
        <v>0</v>
      </c>
      <c r="AS36" s="184">
        <f t="shared" si="9"/>
        <v>0</v>
      </c>
      <c r="AT36" s="184">
        <f t="shared" si="9"/>
        <v>0</v>
      </c>
    </row>
    <row r="37" spans="2:46" ht="14.25" hidden="1">
      <c r="B37" s="184">
        <f aca="true" t="shared" si="10" ref="B37:AT37">IF(OR(B13=B14,B13=B15,B13=B16,B13=B17,B13=B18,B13=B19,B13=B20,B13=B21),B13,"")</f>
        <v>0</v>
      </c>
      <c r="C37" s="184">
        <f t="shared" si="10"/>
        <v>0</v>
      </c>
      <c r="D37" s="184">
        <f t="shared" si="10"/>
        <v>0</v>
      </c>
      <c r="E37" s="184">
        <f t="shared" si="10"/>
        <v>0</v>
      </c>
      <c r="F37" s="184">
        <f t="shared" si="10"/>
        <v>0</v>
      </c>
      <c r="G37" s="184">
        <f t="shared" si="10"/>
        <v>0</v>
      </c>
      <c r="H37" s="184">
        <f t="shared" si="10"/>
        <v>0</v>
      </c>
      <c r="I37" s="184">
        <f t="shared" si="10"/>
        <v>0</v>
      </c>
      <c r="J37" s="184">
        <f t="shared" si="10"/>
        <v>0</v>
      </c>
      <c r="K37" s="184">
        <f t="shared" si="10"/>
        <v>0</v>
      </c>
      <c r="L37" s="184">
        <f t="shared" si="10"/>
        <v>0</v>
      </c>
      <c r="M37" s="184">
        <f t="shared" si="10"/>
        <v>0</v>
      </c>
      <c r="N37" s="184">
        <f t="shared" si="10"/>
        <v>0</v>
      </c>
      <c r="O37" s="184">
        <f t="shared" si="10"/>
        <v>0</v>
      </c>
      <c r="P37" s="184">
        <f t="shared" si="10"/>
        <v>0</v>
      </c>
      <c r="Q37" s="184">
        <f t="shared" si="10"/>
        <v>0</v>
      </c>
      <c r="R37" s="184">
        <f t="shared" si="10"/>
        <v>0</v>
      </c>
      <c r="S37" s="184">
        <f t="shared" si="10"/>
        <v>0</v>
      </c>
      <c r="T37" s="184">
        <f t="shared" si="10"/>
        <v>0</v>
      </c>
      <c r="U37" s="184">
        <f t="shared" si="10"/>
        <v>0</v>
      </c>
      <c r="V37" s="184">
        <f t="shared" si="10"/>
        <v>0</v>
      </c>
      <c r="W37" s="184">
        <f t="shared" si="10"/>
        <v>0</v>
      </c>
      <c r="X37" s="184">
        <f t="shared" si="10"/>
        <v>0</v>
      </c>
      <c r="Y37" s="184">
        <f t="shared" si="10"/>
        <v>0</v>
      </c>
      <c r="Z37" s="184">
        <f t="shared" si="10"/>
        <v>0</v>
      </c>
      <c r="AA37" s="184">
        <f t="shared" si="10"/>
        <v>0</v>
      </c>
      <c r="AB37" s="184">
        <f t="shared" si="10"/>
        <v>0</v>
      </c>
      <c r="AC37" s="184">
        <f t="shared" si="10"/>
        <v>0</v>
      </c>
      <c r="AD37" s="184">
        <f t="shared" si="10"/>
        <v>0</v>
      </c>
      <c r="AE37" s="184">
        <f t="shared" si="10"/>
        <v>0</v>
      </c>
      <c r="AF37" s="184">
        <f t="shared" si="10"/>
        <v>0</v>
      </c>
      <c r="AG37" s="184">
        <f t="shared" si="10"/>
        <v>0</v>
      </c>
      <c r="AH37" s="184">
        <f t="shared" si="10"/>
        <v>0</v>
      </c>
      <c r="AI37" s="184">
        <f t="shared" si="10"/>
        <v>0</v>
      </c>
      <c r="AJ37" s="184">
        <f t="shared" si="10"/>
        <v>0</v>
      </c>
      <c r="AK37" s="184">
        <f t="shared" si="10"/>
        <v>0</v>
      </c>
      <c r="AL37" s="184">
        <f t="shared" si="10"/>
        <v>0</v>
      </c>
      <c r="AM37" s="184">
        <f t="shared" si="10"/>
        <v>0</v>
      </c>
      <c r="AN37" s="184">
        <f t="shared" si="10"/>
        <v>0</v>
      </c>
      <c r="AO37" s="184">
        <f t="shared" si="10"/>
        <v>0</v>
      </c>
      <c r="AP37" s="184">
        <f t="shared" si="10"/>
        <v>0</v>
      </c>
      <c r="AQ37" s="184">
        <f t="shared" si="10"/>
        <v>0</v>
      </c>
      <c r="AR37" s="184">
        <f t="shared" si="10"/>
        <v>0</v>
      </c>
      <c r="AS37" s="184">
        <f t="shared" si="10"/>
        <v>0</v>
      </c>
      <c r="AT37" s="184">
        <f t="shared" si="10"/>
        <v>0</v>
      </c>
    </row>
    <row r="38" spans="2:46" ht="14.25" hidden="1">
      <c r="B38" s="184">
        <f aca="true" t="shared" si="11" ref="B38:AT38">IF(OR(B14=B15,B14=B16,B14=B17,B14=B18,B14=B19,B14=B20,B14=B21),B14,"")</f>
        <v>0</v>
      </c>
      <c r="C38" s="184">
        <f t="shared" si="11"/>
        <v>0</v>
      </c>
      <c r="D38" s="184">
        <f t="shared" si="11"/>
        <v>0</v>
      </c>
      <c r="E38" s="184">
        <f t="shared" si="11"/>
        <v>0</v>
      </c>
      <c r="F38" s="184">
        <f t="shared" si="11"/>
        <v>0</v>
      </c>
      <c r="G38" s="184">
        <f t="shared" si="11"/>
        <v>0</v>
      </c>
      <c r="H38" s="184">
        <f t="shared" si="11"/>
        <v>0</v>
      </c>
      <c r="I38" s="184">
        <f t="shared" si="11"/>
        <v>0</v>
      </c>
      <c r="J38" s="184">
        <f t="shared" si="11"/>
        <v>0</v>
      </c>
      <c r="K38" s="184">
        <f t="shared" si="11"/>
        <v>0</v>
      </c>
      <c r="L38" s="184">
        <f t="shared" si="11"/>
        <v>0</v>
      </c>
      <c r="M38" s="184">
        <f t="shared" si="11"/>
        <v>0</v>
      </c>
      <c r="N38" s="184">
        <f t="shared" si="11"/>
        <v>0</v>
      </c>
      <c r="O38" s="184">
        <f t="shared" si="11"/>
        <v>0</v>
      </c>
      <c r="P38" s="184">
        <f t="shared" si="11"/>
        <v>0</v>
      </c>
      <c r="Q38" s="184">
        <f t="shared" si="11"/>
        <v>0</v>
      </c>
      <c r="R38" s="184">
        <f t="shared" si="11"/>
        <v>0</v>
      </c>
      <c r="S38" s="184">
        <f t="shared" si="11"/>
        <v>0</v>
      </c>
      <c r="T38" s="184">
        <f t="shared" si="11"/>
        <v>0</v>
      </c>
      <c r="U38" s="184">
        <f t="shared" si="11"/>
        <v>0</v>
      </c>
      <c r="V38" s="184">
        <f t="shared" si="11"/>
        <v>0</v>
      </c>
      <c r="W38" s="184">
        <f t="shared" si="11"/>
        <v>0</v>
      </c>
      <c r="X38" s="184">
        <f t="shared" si="11"/>
        <v>0</v>
      </c>
      <c r="Y38" s="184">
        <f t="shared" si="11"/>
        <v>0</v>
      </c>
      <c r="Z38" s="184">
        <f t="shared" si="11"/>
        <v>0</v>
      </c>
      <c r="AA38" s="184">
        <f t="shared" si="11"/>
        <v>0</v>
      </c>
      <c r="AB38" s="184">
        <f t="shared" si="11"/>
        <v>0</v>
      </c>
      <c r="AC38" s="184">
        <f t="shared" si="11"/>
        <v>0</v>
      </c>
      <c r="AD38" s="184">
        <f t="shared" si="11"/>
        <v>0</v>
      </c>
      <c r="AE38" s="184">
        <f t="shared" si="11"/>
        <v>0</v>
      </c>
      <c r="AF38" s="184">
        <f t="shared" si="11"/>
        <v>0</v>
      </c>
      <c r="AG38" s="184">
        <f t="shared" si="11"/>
        <v>0</v>
      </c>
      <c r="AH38" s="184">
        <f t="shared" si="11"/>
        <v>0</v>
      </c>
      <c r="AI38" s="184">
        <f t="shared" si="11"/>
        <v>0</v>
      </c>
      <c r="AJ38" s="184">
        <f t="shared" si="11"/>
        <v>0</v>
      </c>
      <c r="AK38" s="184">
        <f t="shared" si="11"/>
        <v>0</v>
      </c>
      <c r="AL38" s="184">
        <f t="shared" si="11"/>
        <v>0</v>
      </c>
      <c r="AM38" s="184">
        <f t="shared" si="11"/>
        <v>0</v>
      </c>
      <c r="AN38" s="184">
        <f t="shared" si="11"/>
        <v>0</v>
      </c>
      <c r="AO38" s="184">
        <f t="shared" si="11"/>
        <v>0</v>
      </c>
      <c r="AP38" s="184">
        <f t="shared" si="11"/>
        <v>0</v>
      </c>
      <c r="AQ38" s="184">
        <f t="shared" si="11"/>
        <v>0</v>
      </c>
      <c r="AR38" s="184">
        <f t="shared" si="11"/>
        <v>0</v>
      </c>
      <c r="AS38" s="184">
        <f t="shared" si="11"/>
        <v>0</v>
      </c>
      <c r="AT38" s="184">
        <f t="shared" si="11"/>
        <v>0</v>
      </c>
    </row>
    <row r="39" spans="2:46" ht="14.25" hidden="1">
      <c r="B39" s="184">
        <f aca="true" t="shared" si="12" ref="B39:AT39">IF(OR(B15=B16,B15=B17,B15=B18,B15=B19,B15=B20,B15=B21),B15,"")</f>
        <v>0</v>
      </c>
      <c r="C39" s="184">
        <f t="shared" si="12"/>
        <v>0</v>
      </c>
      <c r="D39" s="184">
        <f t="shared" si="12"/>
        <v>0</v>
      </c>
      <c r="E39" s="184">
        <f t="shared" si="12"/>
        <v>0</v>
      </c>
      <c r="F39" s="184">
        <f t="shared" si="12"/>
        <v>0</v>
      </c>
      <c r="G39" s="184">
        <f t="shared" si="12"/>
        <v>0</v>
      </c>
      <c r="H39" s="184">
        <f t="shared" si="12"/>
        <v>0</v>
      </c>
      <c r="I39" s="184">
        <f t="shared" si="12"/>
        <v>0</v>
      </c>
      <c r="J39" s="184">
        <f t="shared" si="12"/>
        <v>0</v>
      </c>
      <c r="K39" s="184">
        <f t="shared" si="12"/>
        <v>0</v>
      </c>
      <c r="L39" s="184">
        <f t="shared" si="12"/>
        <v>0</v>
      </c>
      <c r="M39" s="184">
        <f t="shared" si="12"/>
        <v>0</v>
      </c>
      <c r="N39" s="184">
        <f t="shared" si="12"/>
        <v>0</v>
      </c>
      <c r="O39" s="184">
        <f t="shared" si="12"/>
        <v>0</v>
      </c>
      <c r="P39" s="184">
        <f t="shared" si="12"/>
        <v>0</v>
      </c>
      <c r="Q39" s="184">
        <f t="shared" si="12"/>
        <v>0</v>
      </c>
      <c r="R39" s="184">
        <f t="shared" si="12"/>
        <v>0</v>
      </c>
      <c r="S39" s="184">
        <f t="shared" si="12"/>
        <v>0</v>
      </c>
      <c r="T39" s="184">
        <f t="shared" si="12"/>
        <v>0</v>
      </c>
      <c r="U39" s="184">
        <f t="shared" si="12"/>
        <v>0</v>
      </c>
      <c r="V39" s="184">
        <f t="shared" si="12"/>
        <v>0</v>
      </c>
      <c r="W39" s="184">
        <f t="shared" si="12"/>
        <v>0</v>
      </c>
      <c r="X39" s="184">
        <f t="shared" si="12"/>
        <v>0</v>
      </c>
      <c r="Y39" s="184">
        <f t="shared" si="12"/>
        <v>0</v>
      </c>
      <c r="Z39" s="184">
        <f t="shared" si="12"/>
        <v>0</v>
      </c>
      <c r="AA39" s="184">
        <f t="shared" si="12"/>
        <v>0</v>
      </c>
      <c r="AB39" s="184">
        <f t="shared" si="12"/>
        <v>0</v>
      </c>
      <c r="AC39" s="184">
        <f t="shared" si="12"/>
        <v>0</v>
      </c>
      <c r="AD39" s="184">
        <f t="shared" si="12"/>
        <v>0</v>
      </c>
      <c r="AE39" s="184">
        <f t="shared" si="12"/>
        <v>0</v>
      </c>
      <c r="AF39" s="184">
        <f t="shared" si="12"/>
        <v>0</v>
      </c>
      <c r="AG39" s="184">
        <f t="shared" si="12"/>
        <v>0</v>
      </c>
      <c r="AH39" s="184">
        <f t="shared" si="12"/>
        <v>0</v>
      </c>
      <c r="AI39" s="184">
        <f t="shared" si="12"/>
        <v>0</v>
      </c>
      <c r="AJ39" s="184">
        <f t="shared" si="12"/>
        <v>0</v>
      </c>
      <c r="AK39" s="184">
        <f t="shared" si="12"/>
        <v>0</v>
      </c>
      <c r="AL39" s="184">
        <f t="shared" si="12"/>
        <v>0</v>
      </c>
      <c r="AM39" s="184">
        <f t="shared" si="12"/>
        <v>0</v>
      </c>
      <c r="AN39" s="184">
        <f t="shared" si="12"/>
        <v>0</v>
      </c>
      <c r="AO39" s="184">
        <f t="shared" si="12"/>
        <v>0</v>
      </c>
      <c r="AP39" s="184">
        <f t="shared" si="12"/>
        <v>0</v>
      </c>
      <c r="AQ39" s="184">
        <f t="shared" si="12"/>
        <v>0</v>
      </c>
      <c r="AR39" s="184">
        <f t="shared" si="12"/>
        <v>0</v>
      </c>
      <c r="AS39" s="184">
        <f t="shared" si="12"/>
        <v>0</v>
      </c>
      <c r="AT39" s="184">
        <f t="shared" si="12"/>
        <v>0</v>
      </c>
    </row>
    <row r="40" spans="2:46" ht="14.25" hidden="1">
      <c r="B40" s="184">
        <f aca="true" t="shared" si="13" ref="B40:AT40">IF(OR(B16=B17,B16=B18,B16=B19,B16=B20,B16=B21),B16,"")</f>
        <v>0</v>
      </c>
      <c r="C40" s="184">
        <f t="shared" si="13"/>
        <v>0</v>
      </c>
      <c r="D40" s="184">
        <f t="shared" si="13"/>
        <v>0</v>
      </c>
      <c r="E40" s="184">
        <f t="shared" si="13"/>
        <v>0</v>
      </c>
      <c r="F40" s="184">
        <f t="shared" si="13"/>
        <v>0</v>
      </c>
      <c r="G40" s="184">
        <f t="shared" si="13"/>
        <v>0</v>
      </c>
      <c r="H40" s="184">
        <f t="shared" si="13"/>
        <v>0</v>
      </c>
      <c r="I40" s="184">
        <f t="shared" si="13"/>
        <v>0</v>
      </c>
      <c r="J40" s="184">
        <f t="shared" si="13"/>
        <v>0</v>
      </c>
      <c r="K40" s="184">
        <f t="shared" si="13"/>
        <v>0</v>
      </c>
      <c r="L40" s="184">
        <f t="shared" si="13"/>
        <v>0</v>
      </c>
      <c r="M40" s="184">
        <f t="shared" si="13"/>
        <v>0</v>
      </c>
      <c r="N40" s="184">
        <f t="shared" si="13"/>
        <v>0</v>
      </c>
      <c r="O40" s="184">
        <f t="shared" si="13"/>
        <v>0</v>
      </c>
      <c r="P40" s="184">
        <f t="shared" si="13"/>
        <v>0</v>
      </c>
      <c r="Q40" s="184">
        <f t="shared" si="13"/>
        <v>0</v>
      </c>
      <c r="R40" s="184">
        <f t="shared" si="13"/>
        <v>0</v>
      </c>
      <c r="S40" s="184">
        <f t="shared" si="13"/>
        <v>0</v>
      </c>
      <c r="T40" s="184">
        <f t="shared" si="13"/>
        <v>0</v>
      </c>
      <c r="U40" s="184">
        <f t="shared" si="13"/>
        <v>0</v>
      </c>
      <c r="V40" s="184">
        <f t="shared" si="13"/>
        <v>0</v>
      </c>
      <c r="W40" s="184">
        <f t="shared" si="13"/>
        <v>0</v>
      </c>
      <c r="X40" s="184">
        <f t="shared" si="13"/>
        <v>0</v>
      </c>
      <c r="Y40" s="184">
        <f t="shared" si="13"/>
        <v>0</v>
      </c>
      <c r="Z40" s="184">
        <f t="shared" si="13"/>
        <v>0</v>
      </c>
      <c r="AA40" s="184">
        <f t="shared" si="13"/>
        <v>0</v>
      </c>
      <c r="AB40" s="184">
        <f t="shared" si="13"/>
        <v>0</v>
      </c>
      <c r="AC40" s="184">
        <f t="shared" si="13"/>
        <v>0</v>
      </c>
      <c r="AD40" s="184">
        <f t="shared" si="13"/>
        <v>0</v>
      </c>
      <c r="AE40" s="184">
        <f t="shared" si="13"/>
        <v>0</v>
      </c>
      <c r="AF40" s="184">
        <f t="shared" si="13"/>
        <v>0</v>
      </c>
      <c r="AG40" s="184">
        <f t="shared" si="13"/>
        <v>0</v>
      </c>
      <c r="AH40" s="184">
        <f t="shared" si="13"/>
        <v>0</v>
      </c>
      <c r="AI40" s="184">
        <f t="shared" si="13"/>
        <v>0</v>
      </c>
      <c r="AJ40" s="184">
        <f t="shared" si="13"/>
        <v>0</v>
      </c>
      <c r="AK40" s="184">
        <f t="shared" si="13"/>
        <v>0</v>
      </c>
      <c r="AL40" s="184">
        <f t="shared" si="13"/>
        <v>0</v>
      </c>
      <c r="AM40" s="184">
        <f t="shared" si="13"/>
        <v>0</v>
      </c>
      <c r="AN40" s="184">
        <f t="shared" si="13"/>
        <v>0</v>
      </c>
      <c r="AO40" s="184">
        <f t="shared" si="13"/>
        <v>0</v>
      </c>
      <c r="AP40" s="184">
        <f t="shared" si="13"/>
        <v>0</v>
      </c>
      <c r="AQ40" s="184">
        <f t="shared" si="13"/>
        <v>0</v>
      </c>
      <c r="AR40" s="184">
        <f t="shared" si="13"/>
        <v>0</v>
      </c>
      <c r="AS40" s="184">
        <f t="shared" si="13"/>
        <v>0</v>
      </c>
      <c r="AT40" s="184">
        <f t="shared" si="13"/>
        <v>0</v>
      </c>
    </row>
    <row r="41" spans="2:46" ht="14.25" hidden="1">
      <c r="B41" s="184">
        <f aca="true" t="shared" si="14" ref="B41:AT41">IF(OR(B17=B18,B17=B19,B17=B20,B17=B21),B17,"")</f>
        <v>0</v>
      </c>
      <c r="C41" s="184">
        <f t="shared" si="14"/>
        <v>0</v>
      </c>
      <c r="D41" s="184">
        <f t="shared" si="14"/>
        <v>0</v>
      </c>
      <c r="E41" s="184">
        <f t="shared" si="14"/>
        <v>0</v>
      </c>
      <c r="F41" s="184">
        <f t="shared" si="14"/>
        <v>0</v>
      </c>
      <c r="G41" s="184">
        <f t="shared" si="14"/>
        <v>0</v>
      </c>
      <c r="H41" s="184">
        <f t="shared" si="14"/>
        <v>0</v>
      </c>
      <c r="I41" s="184">
        <f t="shared" si="14"/>
        <v>0</v>
      </c>
      <c r="J41" s="184">
        <f t="shared" si="14"/>
        <v>0</v>
      </c>
      <c r="K41" s="184">
        <f t="shared" si="14"/>
        <v>0</v>
      </c>
      <c r="L41" s="184">
        <f t="shared" si="14"/>
        <v>0</v>
      </c>
      <c r="M41" s="184">
        <f t="shared" si="14"/>
        <v>0</v>
      </c>
      <c r="N41" s="184">
        <f t="shared" si="14"/>
        <v>0</v>
      </c>
      <c r="O41" s="184">
        <f t="shared" si="14"/>
        <v>0</v>
      </c>
      <c r="P41" s="184">
        <f t="shared" si="14"/>
        <v>0</v>
      </c>
      <c r="Q41" s="184">
        <f t="shared" si="14"/>
        <v>0</v>
      </c>
      <c r="R41" s="184">
        <f t="shared" si="14"/>
        <v>0</v>
      </c>
      <c r="S41" s="184">
        <f t="shared" si="14"/>
        <v>0</v>
      </c>
      <c r="T41" s="184">
        <f t="shared" si="14"/>
        <v>0</v>
      </c>
      <c r="U41" s="184">
        <f t="shared" si="14"/>
        <v>0</v>
      </c>
      <c r="V41" s="184">
        <f t="shared" si="14"/>
        <v>0</v>
      </c>
      <c r="W41" s="184">
        <f t="shared" si="14"/>
        <v>0</v>
      </c>
      <c r="X41" s="184">
        <f t="shared" si="14"/>
        <v>0</v>
      </c>
      <c r="Y41" s="184">
        <f t="shared" si="14"/>
        <v>0</v>
      </c>
      <c r="Z41" s="184">
        <f t="shared" si="14"/>
        <v>0</v>
      </c>
      <c r="AA41" s="184">
        <f t="shared" si="14"/>
        <v>0</v>
      </c>
      <c r="AB41" s="184">
        <f t="shared" si="14"/>
        <v>0</v>
      </c>
      <c r="AC41" s="184">
        <f t="shared" si="14"/>
        <v>0</v>
      </c>
      <c r="AD41" s="184">
        <f t="shared" si="14"/>
        <v>0</v>
      </c>
      <c r="AE41" s="184">
        <f t="shared" si="14"/>
        <v>0</v>
      </c>
      <c r="AF41" s="184">
        <f t="shared" si="14"/>
        <v>0</v>
      </c>
      <c r="AG41" s="184">
        <f t="shared" si="14"/>
        <v>0</v>
      </c>
      <c r="AH41" s="184">
        <f t="shared" si="14"/>
        <v>0</v>
      </c>
      <c r="AI41" s="184">
        <f t="shared" si="14"/>
        <v>0</v>
      </c>
      <c r="AJ41" s="184">
        <f t="shared" si="14"/>
        <v>0</v>
      </c>
      <c r="AK41" s="184">
        <f t="shared" si="14"/>
        <v>0</v>
      </c>
      <c r="AL41" s="184">
        <f t="shared" si="14"/>
        <v>0</v>
      </c>
      <c r="AM41" s="184">
        <f t="shared" si="14"/>
        <v>0</v>
      </c>
      <c r="AN41" s="184">
        <f t="shared" si="14"/>
        <v>0</v>
      </c>
      <c r="AO41" s="184">
        <f t="shared" si="14"/>
        <v>0</v>
      </c>
      <c r="AP41" s="184">
        <f t="shared" si="14"/>
        <v>0</v>
      </c>
      <c r="AQ41" s="184">
        <f t="shared" si="14"/>
        <v>0</v>
      </c>
      <c r="AR41" s="184">
        <f t="shared" si="14"/>
        <v>0</v>
      </c>
      <c r="AS41" s="184">
        <f t="shared" si="14"/>
        <v>0</v>
      </c>
      <c r="AT41" s="184">
        <f t="shared" si="14"/>
        <v>0</v>
      </c>
    </row>
    <row r="42" spans="2:46" ht="14.25" hidden="1">
      <c r="B42" s="184">
        <f aca="true" t="shared" si="15" ref="B42:AT42">IF(OR(B18=B19,B18=B20,B18=B21),B18,"")</f>
        <v>0</v>
      </c>
      <c r="C42" s="184">
        <f t="shared" si="15"/>
        <v>0</v>
      </c>
      <c r="D42" s="184">
        <f t="shared" si="15"/>
        <v>0</v>
      </c>
      <c r="E42" s="184">
        <f t="shared" si="15"/>
        <v>0</v>
      </c>
      <c r="F42" s="184">
        <f t="shared" si="15"/>
        <v>0</v>
      </c>
      <c r="G42" s="184">
        <f t="shared" si="15"/>
        <v>0</v>
      </c>
      <c r="H42" s="184">
        <f t="shared" si="15"/>
        <v>0</v>
      </c>
      <c r="I42" s="184">
        <f t="shared" si="15"/>
        <v>0</v>
      </c>
      <c r="J42" s="184">
        <f t="shared" si="15"/>
        <v>0</v>
      </c>
      <c r="K42" s="184">
        <f t="shared" si="15"/>
        <v>0</v>
      </c>
      <c r="L42" s="184">
        <f t="shared" si="15"/>
        <v>0</v>
      </c>
      <c r="M42" s="184">
        <f t="shared" si="15"/>
        <v>0</v>
      </c>
      <c r="N42" s="184">
        <f t="shared" si="15"/>
        <v>0</v>
      </c>
      <c r="O42" s="184">
        <f t="shared" si="15"/>
        <v>0</v>
      </c>
      <c r="P42" s="184">
        <f t="shared" si="15"/>
        <v>0</v>
      </c>
      <c r="Q42" s="184">
        <f t="shared" si="15"/>
        <v>0</v>
      </c>
      <c r="R42" s="184">
        <f t="shared" si="15"/>
        <v>0</v>
      </c>
      <c r="S42" s="184">
        <f t="shared" si="15"/>
        <v>0</v>
      </c>
      <c r="T42" s="184">
        <f t="shared" si="15"/>
        <v>0</v>
      </c>
      <c r="U42" s="184">
        <f t="shared" si="15"/>
        <v>0</v>
      </c>
      <c r="V42" s="184">
        <f t="shared" si="15"/>
        <v>0</v>
      </c>
      <c r="W42" s="184">
        <f t="shared" si="15"/>
        <v>0</v>
      </c>
      <c r="X42" s="184">
        <f t="shared" si="15"/>
        <v>0</v>
      </c>
      <c r="Y42" s="184">
        <f t="shared" si="15"/>
        <v>0</v>
      </c>
      <c r="Z42" s="184">
        <f t="shared" si="15"/>
        <v>0</v>
      </c>
      <c r="AA42" s="184">
        <f t="shared" si="15"/>
        <v>0</v>
      </c>
      <c r="AB42" s="184">
        <f t="shared" si="15"/>
        <v>0</v>
      </c>
      <c r="AC42" s="184">
        <f t="shared" si="15"/>
        <v>0</v>
      </c>
      <c r="AD42" s="184">
        <f t="shared" si="15"/>
        <v>0</v>
      </c>
      <c r="AE42" s="184">
        <f t="shared" si="15"/>
        <v>0</v>
      </c>
      <c r="AF42" s="184">
        <f t="shared" si="15"/>
        <v>0</v>
      </c>
      <c r="AG42" s="184">
        <f t="shared" si="15"/>
        <v>0</v>
      </c>
      <c r="AH42" s="184">
        <f t="shared" si="15"/>
        <v>0</v>
      </c>
      <c r="AI42" s="184">
        <f t="shared" si="15"/>
        <v>0</v>
      </c>
      <c r="AJ42" s="184">
        <f t="shared" si="15"/>
        <v>0</v>
      </c>
      <c r="AK42" s="184">
        <f t="shared" si="15"/>
        <v>0</v>
      </c>
      <c r="AL42" s="184">
        <f t="shared" si="15"/>
        <v>0</v>
      </c>
      <c r="AM42" s="184">
        <f t="shared" si="15"/>
        <v>0</v>
      </c>
      <c r="AN42" s="184">
        <f t="shared" si="15"/>
        <v>0</v>
      </c>
      <c r="AO42" s="184">
        <f t="shared" si="15"/>
        <v>0</v>
      </c>
      <c r="AP42" s="184">
        <f t="shared" si="15"/>
        <v>0</v>
      </c>
      <c r="AQ42" s="184">
        <f t="shared" si="15"/>
        <v>0</v>
      </c>
      <c r="AR42" s="184">
        <f t="shared" si="15"/>
        <v>0</v>
      </c>
      <c r="AS42" s="184">
        <f t="shared" si="15"/>
        <v>0</v>
      </c>
      <c r="AT42" s="184">
        <f t="shared" si="15"/>
        <v>0</v>
      </c>
    </row>
    <row r="43" spans="2:46" ht="14.25" hidden="1">
      <c r="B43" s="184">
        <f aca="true" t="shared" si="16" ref="B43:AT43">IF(OR(B19=B20,B19=B21),B19,"")</f>
        <v>0</v>
      </c>
      <c r="C43" s="184">
        <f t="shared" si="16"/>
        <v>0</v>
      </c>
      <c r="D43" s="184">
        <f t="shared" si="16"/>
        <v>0</v>
      </c>
      <c r="E43" s="184">
        <f t="shared" si="16"/>
        <v>0</v>
      </c>
      <c r="F43" s="184">
        <f t="shared" si="16"/>
        <v>0</v>
      </c>
      <c r="G43" s="184">
        <f t="shared" si="16"/>
        <v>0</v>
      </c>
      <c r="H43" s="184">
        <f t="shared" si="16"/>
        <v>0</v>
      </c>
      <c r="I43" s="184">
        <f t="shared" si="16"/>
        <v>0</v>
      </c>
      <c r="J43" s="184">
        <f t="shared" si="16"/>
        <v>0</v>
      </c>
      <c r="K43" s="184">
        <f t="shared" si="16"/>
        <v>0</v>
      </c>
      <c r="L43" s="184">
        <f t="shared" si="16"/>
        <v>0</v>
      </c>
      <c r="M43" s="184">
        <f t="shared" si="16"/>
        <v>0</v>
      </c>
      <c r="N43" s="184">
        <f t="shared" si="16"/>
        <v>0</v>
      </c>
      <c r="O43" s="184">
        <f t="shared" si="16"/>
        <v>0</v>
      </c>
      <c r="P43" s="184">
        <f t="shared" si="16"/>
        <v>0</v>
      </c>
      <c r="Q43" s="184">
        <f t="shared" si="16"/>
        <v>0</v>
      </c>
      <c r="R43" s="184">
        <f t="shared" si="16"/>
        <v>0</v>
      </c>
      <c r="S43" s="184">
        <f t="shared" si="16"/>
        <v>0</v>
      </c>
      <c r="T43" s="184">
        <f t="shared" si="16"/>
        <v>0</v>
      </c>
      <c r="U43" s="184">
        <f t="shared" si="16"/>
        <v>0</v>
      </c>
      <c r="V43" s="184">
        <f t="shared" si="16"/>
        <v>0</v>
      </c>
      <c r="W43" s="184">
        <f t="shared" si="16"/>
        <v>0</v>
      </c>
      <c r="X43" s="184">
        <f t="shared" si="16"/>
        <v>0</v>
      </c>
      <c r="Y43" s="184">
        <f t="shared" si="16"/>
        <v>0</v>
      </c>
      <c r="Z43" s="184">
        <f t="shared" si="16"/>
        <v>0</v>
      </c>
      <c r="AA43" s="184">
        <f t="shared" si="16"/>
        <v>0</v>
      </c>
      <c r="AB43" s="184">
        <f t="shared" si="16"/>
        <v>0</v>
      </c>
      <c r="AC43" s="184">
        <f t="shared" si="16"/>
        <v>0</v>
      </c>
      <c r="AD43" s="184">
        <f t="shared" si="16"/>
        <v>0</v>
      </c>
      <c r="AE43" s="184">
        <f t="shared" si="16"/>
        <v>0</v>
      </c>
      <c r="AF43" s="184">
        <f t="shared" si="16"/>
        <v>0</v>
      </c>
      <c r="AG43" s="184">
        <f t="shared" si="16"/>
        <v>0</v>
      </c>
      <c r="AH43" s="184">
        <f t="shared" si="16"/>
        <v>0</v>
      </c>
      <c r="AI43" s="184">
        <f t="shared" si="16"/>
        <v>0</v>
      </c>
      <c r="AJ43" s="184">
        <f t="shared" si="16"/>
        <v>0</v>
      </c>
      <c r="AK43" s="184">
        <f t="shared" si="16"/>
        <v>0</v>
      </c>
      <c r="AL43" s="184">
        <f t="shared" si="16"/>
        <v>0</v>
      </c>
      <c r="AM43" s="184">
        <f t="shared" si="16"/>
        <v>0</v>
      </c>
      <c r="AN43" s="184">
        <f t="shared" si="16"/>
        <v>0</v>
      </c>
      <c r="AO43" s="184">
        <f t="shared" si="16"/>
        <v>0</v>
      </c>
      <c r="AP43" s="184">
        <f t="shared" si="16"/>
        <v>0</v>
      </c>
      <c r="AQ43" s="184">
        <f t="shared" si="16"/>
        <v>0</v>
      </c>
      <c r="AR43" s="184">
        <f t="shared" si="16"/>
        <v>0</v>
      </c>
      <c r="AS43" s="184">
        <f t="shared" si="16"/>
        <v>0</v>
      </c>
      <c r="AT43" s="184">
        <f t="shared" si="16"/>
        <v>0</v>
      </c>
    </row>
    <row r="44" spans="2:46" ht="14.25" hidden="1">
      <c r="B44" s="184">
        <f aca="true" t="shared" si="17" ref="B44:AT44">IF(OR(B20=B21),B20,"")</f>
        <v>0</v>
      </c>
      <c r="C44" s="184">
        <f t="shared" si="17"/>
        <v>0</v>
      </c>
      <c r="D44" s="184">
        <f t="shared" si="17"/>
        <v>0</v>
      </c>
      <c r="E44" s="184">
        <f t="shared" si="17"/>
        <v>0</v>
      </c>
      <c r="F44" s="184">
        <f t="shared" si="17"/>
        <v>0</v>
      </c>
      <c r="G44" s="184">
        <f t="shared" si="17"/>
        <v>0</v>
      </c>
      <c r="H44" s="184">
        <f t="shared" si="17"/>
        <v>0</v>
      </c>
      <c r="I44" s="184">
        <f t="shared" si="17"/>
        <v>0</v>
      </c>
      <c r="J44" s="184">
        <f t="shared" si="17"/>
        <v>0</v>
      </c>
      <c r="K44" s="184">
        <f t="shared" si="17"/>
        <v>0</v>
      </c>
      <c r="L44" s="184">
        <f t="shared" si="17"/>
        <v>0</v>
      </c>
      <c r="M44" s="184">
        <f t="shared" si="17"/>
        <v>0</v>
      </c>
      <c r="N44" s="184">
        <f t="shared" si="17"/>
        <v>0</v>
      </c>
      <c r="O44" s="184">
        <f t="shared" si="17"/>
        <v>0</v>
      </c>
      <c r="P44" s="184">
        <f t="shared" si="17"/>
        <v>0</v>
      </c>
      <c r="Q44" s="184">
        <f t="shared" si="17"/>
        <v>0</v>
      </c>
      <c r="R44" s="184">
        <f t="shared" si="17"/>
        <v>0</v>
      </c>
      <c r="S44" s="184">
        <f t="shared" si="17"/>
        <v>0</v>
      </c>
      <c r="T44" s="184">
        <f t="shared" si="17"/>
        <v>0</v>
      </c>
      <c r="U44" s="184">
        <f t="shared" si="17"/>
        <v>0</v>
      </c>
      <c r="V44" s="184">
        <f t="shared" si="17"/>
        <v>0</v>
      </c>
      <c r="W44" s="184">
        <f t="shared" si="17"/>
        <v>0</v>
      </c>
      <c r="X44" s="184">
        <f t="shared" si="17"/>
        <v>0</v>
      </c>
      <c r="Y44" s="184">
        <f t="shared" si="17"/>
        <v>0</v>
      </c>
      <c r="Z44" s="184">
        <f t="shared" si="17"/>
        <v>0</v>
      </c>
      <c r="AA44" s="184">
        <f t="shared" si="17"/>
        <v>0</v>
      </c>
      <c r="AB44" s="184">
        <f t="shared" si="17"/>
        <v>0</v>
      </c>
      <c r="AC44" s="184">
        <f t="shared" si="17"/>
        <v>0</v>
      </c>
      <c r="AD44" s="184">
        <f t="shared" si="17"/>
        <v>0</v>
      </c>
      <c r="AE44" s="184">
        <f t="shared" si="17"/>
        <v>0</v>
      </c>
      <c r="AF44" s="184">
        <f t="shared" si="17"/>
        <v>0</v>
      </c>
      <c r="AG44" s="184">
        <f t="shared" si="17"/>
        <v>0</v>
      </c>
      <c r="AH44" s="184">
        <f t="shared" si="17"/>
        <v>0</v>
      </c>
      <c r="AI44" s="184">
        <f t="shared" si="17"/>
        <v>0</v>
      </c>
      <c r="AJ44" s="184">
        <f t="shared" si="17"/>
        <v>0</v>
      </c>
      <c r="AK44" s="184">
        <f t="shared" si="17"/>
        <v>0</v>
      </c>
      <c r="AL44" s="184">
        <f t="shared" si="17"/>
        <v>0</v>
      </c>
      <c r="AM44" s="184">
        <f t="shared" si="17"/>
        <v>0</v>
      </c>
      <c r="AN44" s="184">
        <f t="shared" si="17"/>
        <v>0</v>
      </c>
      <c r="AO44" s="184">
        <f t="shared" si="17"/>
        <v>0</v>
      </c>
      <c r="AP44" s="184">
        <f t="shared" si="17"/>
        <v>0</v>
      </c>
      <c r="AQ44" s="184">
        <f t="shared" si="17"/>
        <v>0</v>
      </c>
      <c r="AR44" s="184">
        <f t="shared" si="17"/>
        <v>0</v>
      </c>
      <c r="AS44" s="184">
        <f t="shared" si="17"/>
        <v>0</v>
      </c>
      <c r="AT44" s="184">
        <f t="shared" si="17"/>
        <v>0</v>
      </c>
    </row>
    <row r="45" spans="1:46" ht="13.5" customHeight="1" hidden="1">
      <c r="A45" s="52" t="s">
        <v>220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</row>
    <row r="46" spans="2:46" ht="14.25" hidden="1">
      <c r="B46" s="4">
        <f aca="true" t="shared" si="18" ref="B46:AT51">IF(B12=0,"",IF(MID(B12,1,1)&lt;&gt;B$11,"NAPAKA",""))</f>
      </c>
      <c r="C46" s="4">
        <f t="shared" si="18"/>
      </c>
      <c r="D46" s="4">
        <f t="shared" si="18"/>
      </c>
      <c r="E46" s="4">
        <f t="shared" si="18"/>
      </c>
      <c r="F46" s="4">
        <f t="shared" si="18"/>
      </c>
      <c r="G46" s="4">
        <f t="shared" si="18"/>
      </c>
      <c r="H46" s="4">
        <f t="shared" si="18"/>
      </c>
      <c r="I46" s="4">
        <f t="shared" si="18"/>
      </c>
      <c r="J46" s="4">
        <f t="shared" si="18"/>
      </c>
      <c r="K46" s="4">
        <f t="shared" si="18"/>
      </c>
      <c r="L46" s="4">
        <f t="shared" si="18"/>
      </c>
      <c r="M46" s="4">
        <f t="shared" si="18"/>
      </c>
      <c r="N46" s="4">
        <f t="shared" si="18"/>
      </c>
      <c r="O46" s="4">
        <f t="shared" si="18"/>
      </c>
      <c r="P46" s="4">
        <f t="shared" si="18"/>
      </c>
      <c r="Q46" s="4">
        <f t="shared" si="18"/>
      </c>
      <c r="R46" s="4">
        <f t="shared" si="18"/>
      </c>
      <c r="S46" s="4">
        <f t="shared" si="18"/>
      </c>
      <c r="T46" s="4">
        <f t="shared" si="18"/>
      </c>
      <c r="U46" s="4">
        <f t="shared" si="18"/>
      </c>
      <c r="V46" s="4">
        <f t="shared" si="18"/>
      </c>
      <c r="W46" s="4">
        <f t="shared" si="18"/>
      </c>
      <c r="X46" s="4">
        <f t="shared" si="18"/>
      </c>
      <c r="Y46" s="4">
        <f t="shared" si="18"/>
      </c>
      <c r="Z46" s="4">
        <f t="shared" si="18"/>
      </c>
      <c r="AA46" s="4">
        <f t="shared" si="18"/>
      </c>
      <c r="AB46" s="4">
        <f t="shared" si="18"/>
      </c>
      <c r="AC46" s="4">
        <f t="shared" si="18"/>
      </c>
      <c r="AD46" s="4">
        <f t="shared" si="18"/>
      </c>
      <c r="AE46" s="4">
        <f t="shared" si="18"/>
      </c>
      <c r="AF46" s="4">
        <f t="shared" si="18"/>
      </c>
      <c r="AG46" s="4">
        <f t="shared" si="18"/>
      </c>
      <c r="AH46" s="4">
        <f t="shared" si="18"/>
      </c>
      <c r="AI46" s="4">
        <f t="shared" si="18"/>
      </c>
      <c r="AJ46" s="4">
        <f t="shared" si="18"/>
      </c>
      <c r="AK46" s="4">
        <f t="shared" si="18"/>
      </c>
      <c r="AL46" s="4">
        <f t="shared" si="18"/>
      </c>
      <c r="AM46" s="4">
        <f t="shared" si="18"/>
      </c>
      <c r="AN46" s="4">
        <f t="shared" si="18"/>
      </c>
      <c r="AO46" s="4">
        <f t="shared" si="18"/>
      </c>
      <c r="AP46" s="4">
        <f t="shared" si="18"/>
      </c>
      <c r="AQ46" s="4">
        <f t="shared" si="18"/>
      </c>
      <c r="AR46" s="4">
        <f t="shared" si="18"/>
      </c>
      <c r="AS46" s="4">
        <f t="shared" si="18"/>
      </c>
      <c r="AT46" s="4">
        <f t="shared" si="18"/>
      </c>
    </row>
    <row r="47" spans="2:46" ht="14.25" hidden="1">
      <c r="B47" s="4">
        <f t="shared" si="18"/>
      </c>
      <c r="C47" s="4">
        <f t="shared" si="18"/>
      </c>
      <c r="D47" s="4">
        <f t="shared" si="18"/>
      </c>
      <c r="E47" s="4">
        <f t="shared" si="18"/>
      </c>
      <c r="F47" s="4">
        <f t="shared" si="18"/>
      </c>
      <c r="G47" s="4">
        <f t="shared" si="18"/>
      </c>
      <c r="H47" s="4">
        <f t="shared" si="18"/>
      </c>
      <c r="I47" s="4">
        <f t="shared" si="18"/>
      </c>
      <c r="J47" s="4">
        <f t="shared" si="18"/>
      </c>
      <c r="K47" s="4">
        <f t="shared" si="18"/>
      </c>
      <c r="L47" s="4">
        <f t="shared" si="18"/>
      </c>
      <c r="M47" s="4">
        <f t="shared" si="18"/>
      </c>
      <c r="N47" s="4">
        <f t="shared" si="18"/>
      </c>
      <c r="O47" s="4">
        <f t="shared" si="18"/>
      </c>
      <c r="P47" s="4">
        <f t="shared" si="18"/>
      </c>
      <c r="Q47" s="4">
        <f t="shared" si="18"/>
      </c>
      <c r="R47" s="4">
        <f t="shared" si="18"/>
      </c>
      <c r="S47" s="4">
        <f t="shared" si="18"/>
      </c>
      <c r="T47" s="4">
        <f t="shared" si="18"/>
      </c>
      <c r="U47" s="4">
        <f t="shared" si="18"/>
      </c>
      <c r="V47" s="4">
        <f t="shared" si="18"/>
      </c>
      <c r="W47" s="4">
        <f t="shared" si="18"/>
      </c>
      <c r="X47" s="4">
        <f t="shared" si="18"/>
      </c>
      <c r="Y47" s="4">
        <f t="shared" si="18"/>
      </c>
      <c r="Z47" s="4">
        <f t="shared" si="18"/>
      </c>
      <c r="AA47" s="4">
        <f t="shared" si="18"/>
      </c>
      <c r="AB47" s="4">
        <f t="shared" si="18"/>
      </c>
      <c r="AC47" s="4">
        <f t="shared" si="18"/>
      </c>
      <c r="AD47" s="4">
        <f t="shared" si="18"/>
      </c>
      <c r="AE47" s="4">
        <f t="shared" si="18"/>
      </c>
      <c r="AF47" s="4">
        <f t="shared" si="18"/>
      </c>
      <c r="AG47" s="4">
        <f t="shared" si="18"/>
      </c>
      <c r="AH47" s="4">
        <f t="shared" si="18"/>
      </c>
      <c r="AI47" s="4">
        <f t="shared" si="18"/>
      </c>
      <c r="AJ47" s="4">
        <f t="shared" si="18"/>
      </c>
      <c r="AK47" s="4">
        <f t="shared" si="18"/>
      </c>
      <c r="AL47" s="4">
        <f t="shared" si="18"/>
      </c>
      <c r="AM47" s="4">
        <f t="shared" si="18"/>
      </c>
      <c r="AN47" s="4">
        <f t="shared" si="18"/>
      </c>
      <c r="AO47" s="4">
        <f t="shared" si="18"/>
      </c>
      <c r="AP47" s="4">
        <f t="shared" si="18"/>
      </c>
      <c r="AQ47" s="4">
        <f t="shared" si="18"/>
      </c>
      <c r="AR47" s="4">
        <f t="shared" si="18"/>
      </c>
      <c r="AS47" s="4">
        <f t="shared" si="18"/>
      </c>
      <c r="AT47" s="4">
        <f t="shared" si="18"/>
      </c>
    </row>
    <row r="48" spans="2:46" ht="14.25" hidden="1">
      <c r="B48" s="4">
        <f t="shared" si="18"/>
      </c>
      <c r="C48" s="4">
        <f t="shared" si="18"/>
      </c>
      <c r="D48" s="4">
        <f t="shared" si="18"/>
      </c>
      <c r="E48" s="4">
        <f t="shared" si="18"/>
      </c>
      <c r="F48" s="4">
        <f t="shared" si="18"/>
      </c>
      <c r="G48" s="4">
        <f t="shared" si="18"/>
      </c>
      <c r="H48" s="4">
        <f t="shared" si="18"/>
      </c>
      <c r="I48" s="4">
        <f t="shared" si="18"/>
      </c>
      <c r="J48" s="4">
        <f t="shared" si="18"/>
      </c>
      <c r="K48" s="4">
        <f t="shared" si="18"/>
      </c>
      <c r="L48" s="4">
        <f t="shared" si="18"/>
      </c>
      <c r="M48" s="4">
        <f t="shared" si="18"/>
      </c>
      <c r="N48" s="4">
        <f t="shared" si="18"/>
      </c>
      <c r="O48" s="4">
        <f t="shared" si="18"/>
      </c>
      <c r="P48" s="4">
        <f t="shared" si="18"/>
      </c>
      <c r="Q48" s="4">
        <f t="shared" si="18"/>
      </c>
      <c r="R48" s="4">
        <f t="shared" si="18"/>
      </c>
      <c r="S48" s="4">
        <f t="shared" si="18"/>
      </c>
      <c r="T48" s="4">
        <f t="shared" si="18"/>
      </c>
      <c r="U48" s="4">
        <f t="shared" si="18"/>
      </c>
      <c r="V48" s="4">
        <f t="shared" si="18"/>
      </c>
      <c r="W48" s="4">
        <f t="shared" si="18"/>
      </c>
      <c r="X48" s="4">
        <f t="shared" si="18"/>
      </c>
      <c r="Y48" s="4">
        <f t="shared" si="18"/>
      </c>
      <c r="Z48" s="4">
        <f t="shared" si="18"/>
      </c>
      <c r="AA48" s="4">
        <f t="shared" si="18"/>
      </c>
      <c r="AB48" s="4">
        <f t="shared" si="18"/>
      </c>
      <c r="AC48" s="4">
        <f t="shared" si="18"/>
      </c>
      <c r="AD48" s="4">
        <f t="shared" si="18"/>
      </c>
      <c r="AE48" s="4">
        <f t="shared" si="18"/>
      </c>
      <c r="AF48" s="4">
        <f t="shared" si="18"/>
      </c>
      <c r="AG48" s="4">
        <f t="shared" si="18"/>
      </c>
      <c r="AH48" s="4">
        <f t="shared" si="18"/>
      </c>
      <c r="AI48" s="4">
        <f t="shared" si="18"/>
      </c>
      <c r="AJ48" s="4">
        <f t="shared" si="18"/>
      </c>
      <c r="AK48" s="4">
        <f t="shared" si="18"/>
      </c>
      <c r="AL48" s="4">
        <f t="shared" si="18"/>
      </c>
      <c r="AM48" s="4">
        <f t="shared" si="18"/>
      </c>
      <c r="AN48" s="4">
        <f t="shared" si="18"/>
      </c>
      <c r="AO48" s="4">
        <f t="shared" si="18"/>
      </c>
      <c r="AP48" s="4">
        <f t="shared" si="18"/>
      </c>
      <c r="AQ48" s="4">
        <f t="shared" si="18"/>
      </c>
      <c r="AR48" s="4">
        <f t="shared" si="18"/>
      </c>
      <c r="AS48" s="4">
        <f t="shared" si="18"/>
      </c>
      <c r="AT48" s="4">
        <f t="shared" si="18"/>
      </c>
    </row>
    <row r="49" spans="2:46" ht="14.25" hidden="1">
      <c r="B49" s="4">
        <f t="shared" si="18"/>
      </c>
      <c r="C49" s="4">
        <f t="shared" si="18"/>
      </c>
      <c r="D49" s="4">
        <f t="shared" si="18"/>
      </c>
      <c r="E49" s="4">
        <f t="shared" si="18"/>
      </c>
      <c r="F49" s="4">
        <f t="shared" si="18"/>
      </c>
      <c r="G49" s="4">
        <f t="shared" si="18"/>
      </c>
      <c r="H49" s="4">
        <f t="shared" si="18"/>
      </c>
      <c r="I49" s="4">
        <f t="shared" si="18"/>
      </c>
      <c r="J49" s="4">
        <f t="shared" si="18"/>
      </c>
      <c r="K49" s="4">
        <f t="shared" si="18"/>
      </c>
      <c r="L49" s="4">
        <f t="shared" si="18"/>
      </c>
      <c r="M49" s="4">
        <f t="shared" si="18"/>
      </c>
      <c r="N49" s="4">
        <f t="shared" si="18"/>
      </c>
      <c r="O49" s="4">
        <f t="shared" si="18"/>
      </c>
      <c r="P49" s="4">
        <f t="shared" si="18"/>
      </c>
      <c r="Q49" s="4">
        <f t="shared" si="18"/>
      </c>
      <c r="R49" s="4">
        <f t="shared" si="18"/>
      </c>
      <c r="S49" s="4">
        <f t="shared" si="18"/>
      </c>
      <c r="T49" s="4">
        <f t="shared" si="18"/>
      </c>
      <c r="U49" s="4">
        <f t="shared" si="18"/>
      </c>
      <c r="V49" s="4">
        <f t="shared" si="18"/>
      </c>
      <c r="W49" s="4">
        <f t="shared" si="18"/>
      </c>
      <c r="X49" s="4">
        <f t="shared" si="18"/>
      </c>
      <c r="Y49" s="4">
        <f t="shared" si="18"/>
      </c>
      <c r="Z49" s="4">
        <f t="shared" si="18"/>
      </c>
      <c r="AA49" s="4">
        <f t="shared" si="18"/>
      </c>
      <c r="AB49" s="4">
        <f t="shared" si="18"/>
      </c>
      <c r="AC49" s="4">
        <f t="shared" si="18"/>
      </c>
      <c r="AD49" s="4">
        <f t="shared" si="18"/>
      </c>
      <c r="AE49" s="4">
        <f t="shared" si="18"/>
      </c>
      <c r="AF49" s="4">
        <f t="shared" si="18"/>
      </c>
      <c r="AG49" s="4">
        <f t="shared" si="18"/>
      </c>
      <c r="AH49" s="4">
        <f t="shared" si="18"/>
      </c>
      <c r="AI49" s="4">
        <f t="shared" si="18"/>
      </c>
      <c r="AJ49" s="4">
        <f t="shared" si="18"/>
      </c>
      <c r="AK49" s="4">
        <f t="shared" si="18"/>
      </c>
      <c r="AL49" s="4">
        <f t="shared" si="18"/>
      </c>
      <c r="AM49" s="4">
        <f t="shared" si="18"/>
      </c>
      <c r="AN49" s="4">
        <f t="shared" si="18"/>
      </c>
      <c r="AO49" s="4">
        <f t="shared" si="18"/>
      </c>
      <c r="AP49" s="4">
        <f t="shared" si="18"/>
      </c>
      <c r="AQ49" s="4">
        <f t="shared" si="18"/>
      </c>
      <c r="AR49" s="4">
        <f t="shared" si="18"/>
      </c>
      <c r="AS49" s="4">
        <f t="shared" si="18"/>
      </c>
      <c r="AT49" s="4">
        <f t="shared" si="18"/>
      </c>
    </row>
    <row r="50" spans="2:46" ht="14.25" hidden="1">
      <c r="B50" s="4">
        <f t="shared" si="18"/>
      </c>
      <c r="C50" s="4">
        <f t="shared" si="18"/>
      </c>
      <c r="D50" s="4">
        <f t="shared" si="18"/>
      </c>
      <c r="E50" s="4">
        <f t="shared" si="18"/>
      </c>
      <c r="F50" s="4">
        <f t="shared" si="18"/>
      </c>
      <c r="G50" s="4">
        <f t="shared" si="18"/>
      </c>
      <c r="H50" s="4">
        <f t="shared" si="18"/>
      </c>
      <c r="I50" s="4">
        <f t="shared" si="18"/>
      </c>
      <c r="J50" s="4">
        <f t="shared" si="18"/>
      </c>
      <c r="K50" s="4">
        <f t="shared" si="18"/>
      </c>
      <c r="L50" s="4">
        <f t="shared" si="18"/>
      </c>
      <c r="M50" s="4">
        <f t="shared" si="18"/>
      </c>
      <c r="N50" s="4">
        <f t="shared" si="18"/>
      </c>
      <c r="O50" s="4">
        <f t="shared" si="18"/>
      </c>
      <c r="P50" s="4">
        <f t="shared" si="18"/>
      </c>
      <c r="Q50" s="4">
        <f t="shared" si="18"/>
      </c>
      <c r="R50" s="4">
        <f t="shared" si="18"/>
      </c>
      <c r="S50" s="4">
        <f t="shared" si="18"/>
      </c>
      <c r="T50" s="4">
        <f t="shared" si="18"/>
      </c>
      <c r="U50" s="4">
        <f t="shared" si="18"/>
      </c>
      <c r="V50" s="4">
        <f t="shared" si="18"/>
      </c>
      <c r="W50" s="4">
        <f t="shared" si="18"/>
      </c>
      <c r="X50" s="4">
        <f t="shared" si="18"/>
      </c>
      <c r="Y50" s="4">
        <f t="shared" si="18"/>
      </c>
      <c r="Z50" s="4">
        <f t="shared" si="18"/>
      </c>
      <c r="AA50" s="4">
        <f t="shared" si="18"/>
      </c>
      <c r="AB50" s="4">
        <f t="shared" si="18"/>
      </c>
      <c r="AC50" s="4">
        <f t="shared" si="18"/>
      </c>
      <c r="AD50" s="4">
        <f t="shared" si="18"/>
      </c>
      <c r="AE50" s="4">
        <f t="shared" si="18"/>
      </c>
      <c r="AF50" s="4">
        <f t="shared" si="18"/>
      </c>
      <c r="AG50" s="4">
        <f t="shared" si="18"/>
      </c>
      <c r="AH50" s="4">
        <f t="shared" si="18"/>
      </c>
      <c r="AI50" s="4">
        <f t="shared" si="18"/>
      </c>
      <c r="AJ50" s="4">
        <f t="shared" si="18"/>
      </c>
      <c r="AK50" s="4">
        <f t="shared" si="18"/>
      </c>
      <c r="AL50" s="4">
        <f t="shared" si="18"/>
      </c>
      <c r="AM50" s="4">
        <f t="shared" si="18"/>
      </c>
      <c r="AN50" s="4">
        <f t="shared" si="18"/>
      </c>
      <c r="AO50" s="4">
        <f t="shared" si="18"/>
      </c>
      <c r="AP50" s="4">
        <f t="shared" si="18"/>
      </c>
      <c r="AQ50" s="4">
        <f t="shared" si="18"/>
      </c>
      <c r="AR50" s="4">
        <f t="shared" si="18"/>
      </c>
      <c r="AS50" s="4">
        <f t="shared" si="18"/>
      </c>
      <c r="AT50" s="4">
        <f t="shared" si="18"/>
      </c>
    </row>
    <row r="51" spans="2:46" ht="14.25" hidden="1">
      <c r="B51" s="4">
        <f t="shared" si="18"/>
      </c>
      <c r="C51" s="4">
        <f t="shared" si="18"/>
      </c>
      <c r="D51" s="4">
        <f t="shared" si="18"/>
      </c>
      <c r="E51" s="4">
        <f t="shared" si="18"/>
      </c>
      <c r="F51" s="4">
        <f t="shared" si="18"/>
      </c>
      <c r="G51" s="4">
        <f t="shared" si="18"/>
      </c>
      <c r="H51" s="4">
        <f t="shared" si="18"/>
      </c>
      <c r="I51" s="4">
        <f t="shared" si="18"/>
      </c>
      <c r="J51" s="4">
        <f t="shared" si="18"/>
      </c>
      <c r="K51" s="4">
        <f t="shared" si="18"/>
      </c>
      <c r="L51" s="4">
        <f t="shared" si="18"/>
      </c>
      <c r="M51" s="4">
        <f t="shared" si="18"/>
      </c>
      <c r="N51" s="4">
        <f t="shared" si="18"/>
      </c>
      <c r="O51" s="4">
        <f t="shared" si="18"/>
      </c>
      <c r="P51" s="4">
        <f t="shared" si="18"/>
      </c>
      <c r="Q51" s="4">
        <f t="shared" si="18"/>
      </c>
      <c r="R51" s="4">
        <f t="shared" si="18"/>
      </c>
      <c r="S51" s="4">
        <f t="shared" si="18"/>
      </c>
      <c r="T51" s="4">
        <f t="shared" si="18"/>
      </c>
      <c r="U51" s="4">
        <f t="shared" si="18"/>
      </c>
      <c r="V51" s="4">
        <f t="shared" si="18"/>
      </c>
      <c r="W51" s="4">
        <f t="shared" si="18"/>
      </c>
      <c r="X51" s="4">
        <f t="shared" si="18"/>
      </c>
      <c r="Y51" s="4">
        <f t="shared" si="18"/>
      </c>
      <c r="Z51" s="4">
        <f t="shared" si="18"/>
      </c>
      <c r="AA51" s="4">
        <f t="shared" si="18"/>
      </c>
      <c r="AB51" s="4">
        <f t="shared" si="18"/>
      </c>
      <c r="AC51" s="4">
        <f t="shared" si="18"/>
      </c>
      <c r="AD51" s="4">
        <f t="shared" si="18"/>
      </c>
      <c r="AE51" s="4">
        <f t="shared" si="18"/>
      </c>
      <c r="AF51" s="4">
        <f aca="true" t="shared" si="19" ref="AF51:AT51">IF(AF17=0,"",IF(MID(AF17,1,1)&lt;&gt;AF$11,"NAPAKA",""))</f>
      </c>
      <c r="AG51" s="4">
        <f t="shared" si="19"/>
      </c>
      <c r="AH51" s="4">
        <f t="shared" si="19"/>
      </c>
      <c r="AI51" s="4">
        <f t="shared" si="19"/>
      </c>
      <c r="AJ51" s="4">
        <f t="shared" si="19"/>
      </c>
      <c r="AK51" s="4">
        <f t="shared" si="19"/>
      </c>
      <c r="AL51" s="4">
        <f t="shared" si="19"/>
      </c>
      <c r="AM51" s="4">
        <f t="shared" si="19"/>
      </c>
      <c r="AN51" s="4">
        <f t="shared" si="19"/>
      </c>
      <c r="AO51" s="4">
        <f t="shared" si="19"/>
      </c>
      <c r="AP51" s="4">
        <f t="shared" si="19"/>
      </c>
      <c r="AQ51" s="4">
        <f t="shared" si="19"/>
      </c>
      <c r="AR51" s="4">
        <f t="shared" si="19"/>
      </c>
      <c r="AS51" s="4">
        <f t="shared" si="19"/>
      </c>
      <c r="AT51" s="4">
        <f t="shared" si="19"/>
      </c>
    </row>
    <row r="52" spans="2:46" ht="14.25" hidden="1">
      <c r="B52" s="4">
        <f aca="true" t="shared" si="20" ref="B52:AT55">IF(B18=0,"",IF(MID(B18,1,1)&lt;&gt;B$11,"NAPAKA",""))</f>
      </c>
      <c r="C52" s="4">
        <f t="shared" si="20"/>
      </c>
      <c r="D52" s="4">
        <f t="shared" si="20"/>
      </c>
      <c r="E52" s="4">
        <f t="shared" si="20"/>
      </c>
      <c r="F52" s="4">
        <f t="shared" si="20"/>
      </c>
      <c r="G52" s="4">
        <f t="shared" si="20"/>
      </c>
      <c r="H52" s="4">
        <f t="shared" si="20"/>
      </c>
      <c r="I52" s="4">
        <f t="shared" si="20"/>
      </c>
      <c r="J52" s="4">
        <f t="shared" si="20"/>
      </c>
      <c r="K52" s="4">
        <f t="shared" si="20"/>
      </c>
      <c r="L52" s="4">
        <f t="shared" si="20"/>
      </c>
      <c r="M52" s="4">
        <f t="shared" si="20"/>
      </c>
      <c r="N52" s="4">
        <f t="shared" si="20"/>
      </c>
      <c r="O52" s="4">
        <f t="shared" si="20"/>
      </c>
      <c r="P52" s="4">
        <f t="shared" si="20"/>
      </c>
      <c r="Q52" s="4">
        <f t="shared" si="20"/>
      </c>
      <c r="R52" s="4">
        <f t="shared" si="20"/>
      </c>
      <c r="S52" s="4">
        <f t="shared" si="20"/>
      </c>
      <c r="T52" s="4">
        <f t="shared" si="20"/>
      </c>
      <c r="U52" s="4">
        <f t="shared" si="20"/>
      </c>
      <c r="V52" s="4">
        <f t="shared" si="20"/>
      </c>
      <c r="W52" s="4">
        <f t="shared" si="20"/>
      </c>
      <c r="X52" s="4">
        <f t="shared" si="20"/>
      </c>
      <c r="Y52" s="4">
        <f t="shared" si="20"/>
      </c>
      <c r="Z52" s="4">
        <f t="shared" si="20"/>
      </c>
      <c r="AA52" s="4">
        <f t="shared" si="20"/>
      </c>
      <c r="AB52" s="4">
        <f t="shared" si="20"/>
      </c>
      <c r="AC52" s="4">
        <f t="shared" si="20"/>
      </c>
      <c r="AD52" s="4">
        <f t="shared" si="20"/>
      </c>
      <c r="AE52" s="4">
        <f t="shared" si="20"/>
      </c>
      <c r="AF52" s="4">
        <f t="shared" si="20"/>
      </c>
      <c r="AG52" s="4">
        <f t="shared" si="20"/>
      </c>
      <c r="AH52" s="4">
        <f t="shared" si="20"/>
      </c>
      <c r="AI52" s="4">
        <f t="shared" si="20"/>
      </c>
      <c r="AJ52" s="4">
        <f t="shared" si="20"/>
      </c>
      <c r="AK52" s="4">
        <f t="shared" si="20"/>
      </c>
      <c r="AL52" s="4">
        <f t="shared" si="20"/>
      </c>
      <c r="AM52" s="4">
        <f t="shared" si="20"/>
      </c>
      <c r="AN52" s="4">
        <f t="shared" si="20"/>
      </c>
      <c r="AO52" s="4">
        <f t="shared" si="20"/>
      </c>
      <c r="AP52" s="4">
        <f t="shared" si="20"/>
      </c>
      <c r="AQ52" s="4">
        <f t="shared" si="20"/>
      </c>
      <c r="AR52" s="4">
        <f t="shared" si="20"/>
      </c>
      <c r="AS52" s="4">
        <f t="shared" si="20"/>
      </c>
      <c r="AT52" s="4">
        <f t="shared" si="20"/>
      </c>
    </row>
    <row r="53" spans="2:46" ht="14.25" hidden="1">
      <c r="B53" s="4">
        <f t="shared" si="20"/>
      </c>
      <c r="C53" s="4">
        <f t="shared" si="20"/>
      </c>
      <c r="D53" s="4">
        <f t="shared" si="20"/>
      </c>
      <c r="E53" s="4">
        <f t="shared" si="20"/>
      </c>
      <c r="F53" s="4">
        <f t="shared" si="20"/>
      </c>
      <c r="G53" s="4">
        <f t="shared" si="20"/>
      </c>
      <c r="H53" s="4">
        <f t="shared" si="20"/>
      </c>
      <c r="I53" s="4">
        <f t="shared" si="20"/>
      </c>
      <c r="J53" s="4">
        <f t="shared" si="20"/>
      </c>
      <c r="K53" s="4">
        <f t="shared" si="20"/>
      </c>
      <c r="L53" s="4">
        <f t="shared" si="20"/>
      </c>
      <c r="M53" s="4">
        <f t="shared" si="20"/>
      </c>
      <c r="N53" s="4">
        <f t="shared" si="20"/>
      </c>
      <c r="O53" s="4">
        <f t="shared" si="20"/>
      </c>
      <c r="P53" s="4">
        <f t="shared" si="20"/>
      </c>
      <c r="Q53" s="4">
        <f t="shared" si="20"/>
      </c>
      <c r="R53" s="4">
        <f t="shared" si="20"/>
      </c>
      <c r="S53" s="4">
        <f t="shared" si="20"/>
      </c>
      <c r="T53" s="4">
        <f t="shared" si="20"/>
      </c>
      <c r="U53" s="4">
        <f t="shared" si="20"/>
      </c>
      <c r="V53" s="4">
        <f t="shared" si="20"/>
      </c>
      <c r="W53" s="4">
        <f t="shared" si="20"/>
      </c>
      <c r="X53" s="4">
        <f t="shared" si="20"/>
      </c>
      <c r="Y53" s="4">
        <f t="shared" si="20"/>
      </c>
      <c r="Z53" s="4">
        <f t="shared" si="20"/>
      </c>
      <c r="AA53" s="4">
        <f t="shared" si="20"/>
      </c>
      <c r="AB53" s="4">
        <f t="shared" si="20"/>
      </c>
      <c r="AC53" s="4">
        <f t="shared" si="20"/>
      </c>
      <c r="AD53" s="4">
        <f t="shared" si="20"/>
      </c>
      <c r="AE53" s="4">
        <f t="shared" si="20"/>
      </c>
      <c r="AF53" s="4">
        <f t="shared" si="20"/>
      </c>
      <c r="AG53" s="4">
        <f t="shared" si="20"/>
      </c>
      <c r="AH53" s="4">
        <f t="shared" si="20"/>
      </c>
      <c r="AI53" s="4">
        <f t="shared" si="20"/>
      </c>
      <c r="AJ53" s="4">
        <f t="shared" si="20"/>
      </c>
      <c r="AK53" s="4">
        <f t="shared" si="20"/>
      </c>
      <c r="AL53" s="4">
        <f t="shared" si="20"/>
      </c>
      <c r="AM53" s="4">
        <f t="shared" si="20"/>
      </c>
      <c r="AN53" s="4">
        <f t="shared" si="20"/>
      </c>
      <c r="AO53" s="4">
        <f t="shared" si="20"/>
      </c>
      <c r="AP53" s="4">
        <f t="shared" si="20"/>
      </c>
      <c r="AQ53" s="4">
        <f t="shared" si="20"/>
      </c>
      <c r="AR53" s="4">
        <f t="shared" si="20"/>
      </c>
      <c r="AS53" s="4">
        <f t="shared" si="20"/>
      </c>
      <c r="AT53" s="4">
        <f t="shared" si="20"/>
      </c>
    </row>
    <row r="54" spans="2:46" ht="14.25" hidden="1">
      <c r="B54" s="4">
        <f t="shared" si="20"/>
      </c>
      <c r="C54" s="4">
        <f t="shared" si="20"/>
      </c>
      <c r="D54" s="4">
        <f t="shared" si="20"/>
      </c>
      <c r="E54" s="4">
        <f t="shared" si="20"/>
      </c>
      <c r="F54" s="4">
        <f t="shared" si="20"/>
      </c>
      <c r="G54" s="4">
        <f t="shared" si="20"/>
      </c>
      <c r="H54" s="4">
        <f t="shared" si="20"/>
      </c>
      <c r="I54" s="4">
        <f t="shared" si="20"/>
      </c>
      <c r="J54" s="4">
        <f t="shared" si="20"/>
      </c>
      <c r="K54" s="4">
        <f t="shared" si="20"/>
      </c>
      <c r="L54" s="4">
        <f t="shared" si="20"/>
      </c>
      <c r="M54" s="4">
        <f t="shared" si="20"/>
      </c>
      <c r="N54" s="4">
        <f t="shared" si="20"/>
      </c>
      <c r="O54" s="4">
        <f t="shared" si="20"/>
      </c>
      <c r="P54" s="4">
        <f t="shared" si="20"/>
      </c>
      <c r="Q54" s="4">
        <f t="shared" si="20"/>
      </c>
      <c r="R54" s="4">
        <f t="shared" si="20"/>
      </c>
      <c r="S54" s="4">
        <f t="shared" si="20"/>
      </c>
      <c r="T54" s="4">
        <f t="shared" si="20"/>
      </c>
      <c r="U54" s="4">
        <f t="shared" si="20"/>
      </c>
      <c r="V54" s="4">
        <f t="shared" si="20"/>
      </c>
      <c r="W54" s="4">
        <f t="shared" si="20"/>
      </c>
      <c r="X54" s="4">
        <f t="shared" si="20"/>
      </c>
      <c r="Y54" s="4">
        <f t="shared" si="20"/>
      </c>
      <c r="Z54" s="4">
        <f t="shared" si="20"/>
      </c>
      <c r="AA54" s="4">
        <f t="shared" si="20"/>
      </c>
      <c r="AB54" s="4">
        <f t="shared" si="20"/>
      </c>
      <c r="AC54" s="4">
        <f t="shared" si="20"/>
      </c>
      <c r="AD54" s="4">
        <f t="shared" si="20"/>
      </c>
      <c r="AE54" s="4">
        <f t="shared" si="20"/>
      </c>
      <c r="AF54" s="4">
        <f t="shared" si="20"/>
      </c>
      <c r="AG54" s="4">
        <f t="shared" si="20"/>
      </c>
      <c r="AH54" s="4">
        <f t="shared" si="20"/>
      </c>
      <c r="AI54" s="4">
        <f t="shared" si="20"/>
      </c>
      <c r="AJ54" s="4">
        <f t="shared" si="20"/>
      </c>
      <c r="AK54" s="4">
        <f t="shared" si="20"/>
      </c>
      <c r="AL54" s="4">
        <f t="shared" si="20"/>
      </c>
      <c r="AM54" s="4">
        <f t="shared" si="20"/>
      </c>
      <c r="AN54" s="4">
        <f t="shared" si="20"/>
      </c>
      <c r="AO54" s="4">
        <f t="shared" si="20"/>
      </c>
      <c r="AP54" s="4">
        <f t="shared" si="20"/>
      </c>
      <c r="AQ54" s="4">
        <f t="shared" si="20"/>
      </c>
      <c r="AR54" s="4">
        <f t="shared" si="20"/>
      </c>
      <c r="AS54" s="4">
        <f t="shared" si="20"/>
      </c>
      <c r="AT54" s="4">
        <f t="shared" si="20"/>
      </c>
    </row>
    <row r="55" spans="2:46" ht="14.25" hidden="1">
      <c r="B55" s="4">
        <f t="shared" si="20"/>
      </c>
      <c r="C55" s="4">
        <f t="shared" si="20"/>
      </c>
      <c r="D55" s="4">
        <f t="shared" si="20"/>
      </c>
      <c r="E55" s="4">
        <f t="shared" si="20"/>
      </c>
      <c r="F55" s="4">
        <f t="shared" si="20"/>
      </c>
      <c r="G55" s="4">
        <f t="shared" si="20"/>
      </c>
      <c r="H55" s="4">
        <f t="shared" si="20"/>
      </c>
      <c r="I55" s="4">
        <f t="shared" si="20"/>
      </c>
      <c r="J55" s="4">
        <f t="shared" si="20"/>
      </c>
      <c r="K55" s="4">
        <f t="shared" si="20"/>
      </c>
      <c r="L55" s="4">
        <f t="shared" si="20"/>
      </c>
      <c r="M55" s="4">
        <f t="shared" si="20"/>
      </c>
      <c r="N55" s="4">
        <f t="shared" si="20"/>
      </c>
      <c r="O55" s="4">
        <f t="shared" si="20"/>
      </c>
      <c r="P55" s="4">
        <f t="shared" si="20"/>
      </c>
      <c r="Q55" s="4">
        <f t="shared" si="20"/>
      </c>
      <c r="R55" s="4">
        <f t="shared" si="20"/>
      </c>
      <c r="S55" s="4">
        <f t="shared" si="20"/>
      </c>
      <c r="T55" s="4">
        <f t="shared" si="20"/>
      </c>
      <c r="U55" s="4">
        <f t="shared" si="20"/>
      </c>
      <c r="V55" s="4">
        <f t="shared" si="20"/>
      </c>
      <c r="W55" s="4">
        <f t="shared" si="20"/>
      </c>
      <c r="X55" s="4">
        <f t="shared" si="20"/>
      </c>
      <c r="Y55" s="4">
        <f t="shared" si="20"/>
      </c>
      <c r="Z55" s="4">
        <f t="shared" si="20"/>
      </c>
      <c r="AA55" s="4">
        <f t="shared" si="20"/>
      </c>
      <c r="AB55" s="4">
        <f t="shared" si="20"/>
      </c>
      <c r="AC55" s="4">
        <f t="shared" si="20"/>
      </c>
      <c r="AD55" s="4">
        <f t="shared" si="20"/>
      </c>
      <c r="AE55" s="4">
        <f t="shared" si="20"/>
      </c>
      <c r="AF55" s="4">
        <f t="shared" si="20"/>
      </c>
      <c r="AG55" s="4">
        <f t="shared" si="20"/>
      </c>
      <c r="AH55" s="4">
        <f t="shared" si="20"/>
      </c>
      <c r="AI55" s="4">
        <f t="shared" si="20"/>
      </c>
      <c r="AJ55" s="4">
        <f t="shared" si="20"/>
      </c>
      <c r="AK55" s="4">
        <f t="shared" si="20"/>
      </c>
      <c r="AL55" s="4">
        <f t="shared" si="20"/>
      </c>
      <c r="AM55" s="4">
        <f t="shared" si="20"/>
      </c>
      <c r="AN55" s="4">
        <f t="shared" si="20"/>
      </c>
      <c r="AO55" s="4">
        <f t="shared" si="20"/>
      </c>
      <c r="AP55" s="4">
        <f t="shared" si="20"/>
      </c>
      <c r="AQ55" s="4">
        <f t="shared" si="20"/>
      </c>
      <c r="AR55" s="4">
        <f t="shared" si="20"/>
      </c>
      <c r="AS55" s="4">
        <f t="shared" si="20"/>
      </c>
      <c r="AT55" s="4">
        <f t="shared" si="20"/>
      </c>
    </row>
    <row r="56" spans="1:46" ht="13.5" customHeight="1" hidden="1">
      <c r="A56" s="52" t="s">
        <v>228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</row>
    <row r="57" ht="14.25" hidden="1"/>
    <row r="58" spans="3:22" ht="14.25" hidden="1">
      <c r="C58" s="60" t="s">
        <v>343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</row>
    <row r="59" spans="3:22" ht="14.25" hidden="1">
      <c r="C59" s="63">
        <v>1</v>
      </c>
      <c r="D59" s="64" t="s">
        <v>199</v>
      </c>
      <c r="E59" s="65">
        <v>2</v>
      </c>
      <c r="F59" s="64" t="s">
        <v>200</v>
      </c>
      <c r="G59" s="65">
        <v>3</v>
      </c>
      <c r="H59" s="66" t="s">
        <v>201</v>
      </c>
      <c r="I59" s="65">
        <v>4</v>
      </c>
      <c r="J59" s="66" t="s">
        <v>202</v>
      </c>
      <c r="K59" s="65">
        <v>5</v>
      </c>
      <c r="L59" s="66" t="s">
        <v>203</v>
      </c>
      <c r="M59" s="65">
        <v>6</v>
      </c>
      <c r="N59" s="66" t="s">
        <v>204</v>
      </c>
      <c r="O59" s="65">
        <v>7</v>
      </c>
      <c r="P59" s="66" t="s">
        <v>205</v>
      </c>
      <c r="Q59" s="65">
        <v>8</v>
      </c>
      <c r="R59" s="66" t="s">
        <v>206</v>
      </c>
      <c r="S59" s="65">
        <v>9</v>
      </c>
      <c r="T59" s="67" t="s">
        <v>207</v>
      </c>
      <c r="U59" s="66" t="s">
        <v>208</v>
      </c>
      <c r="V59" s="68" t="s">
        <v>209</v>
      </c>
    </row>
    <row r="60" spans="2:22" ht="14.25" hidden="1">
      <c r="B60" s="69" t="s">
        <v>229</v>
      </c>
      <c r="C60" s="70">
        <f>'obrazec 4 - OŠPP'!Q12</f>
        <v>0</v>
      </c>
      <c r="D60" s="71">
        <f>'obrazec 4 - OŠPP'!Q13</f>
        <v>0</v>
      </c>
      <c r="E60" s="72">
        <f>'obrazec 4 - OŠPP'!Q14</f>
        <v>0</v>
      </c>
      <c r="F60" s="72">
        <f>'obrazec 4 - OŠPP'!Q15</f>
        <v>0</v>
      </c>
      <c r="G60" s="72">
        <f>'obrazec 4 - OŠPP'!Q16</f>
        <v>0</v>
      </c>
      <c r="H60" s="72">
        <f>'obrazec 4 - OŠPP'!Q17</f>
        <v>0</v>
      </c>
      <c r="I60" s="72">
        <f>'obrazec 4 - OŠPP'!Q18</f>
        <v>0</v>
      </c>
      <c r="J60" s="72">
        <f>'obrazec 4 - OŠPP'!Q19</f>
        <v>0</v>
      </c>
      <c r="K60" s="72">
        <f>'obrazec 4 - OŠPP'!Q20</f>
        <v>0</v>
      </c>
      <c r="L60" s="72">
        <f>'obrazec 4 - OŠPP'!Q21</f>
        <v>0</v>
      </c>
      <c r="M60" s="72">
        <f>'obrazec 4 - OŠPP'!Q22</f>
        <v>0</v>
      </c>
      <c r="N60" s="72">
        <f>'obrazec 4 - OŠPP'!Q23</f>
        <v>0</v>
      </c>
      <c r="O60" s="72">
        <f>'obrazec 4 - OŠPP'!Q24</f>
        <v>0</v>
      </c>
      <c r="P60" s="72">
        <f>'obrazec 4 - OŠPP'!Q25</f>
        <v>0</v>
      </c>
      <c r="Q60" s="72">
        <f>'obrazec 4 - OŠPP'!Q26</f>
        <v>0</v>
      </c>
      <c r="R60" s="72">
        <f>'obrazec 4 - OŠPP'!Q27</f>
        <v>0</v>
      </c>
      <c r="S60" s="72">
        <f>'obrazec 4 - OŠPP'!Q28</f>
        <v>0</v>
      </c>
      <c r="T60" s="72">
        <f>'obrazec 4 - OŠPP'!Q29</f>
        <v>0</v>
      </c>
      <c r="U60" s="72">
        <f>'obrazec 4 - OŠPP'!Q30</f>
        <v>0</v>
      </c>
      <c r="V60" s="73">
        <f>'obrazec 4 - OŠPP'!Q31</f>
        <v>0</v>
      </c>
    </row>
    <row r="61" spans="2:22" ht="14.25" hidden="1">
      <c r="B61" s="74" t="s">
        <v>230</v>
      </c>
      <c r="C61" s="75">
        <f>'obrazec 4 - OŠPP'!R12</f>
        <v>0</v>
      </c>
      <c r="D61" s="76">
        <f>'obrazec 4 - OŠPP'!R13</f>
        <v>0</v>
      </c>
      <c r="E61" s="186">
        <f>'obrazec 4 - OŠPP'!R14</f>
        <v>0</v>
      </c>
      <c r="F61" s="186">
        <f>'obrazec 4 - OŠPP'!R15</f>
        <v>0</v>
      </c>
      <c r="G61" s="186">
        <f>'obrazec 4 - OŠPP'!R16</f>
        <v>0</v>
      </c>
      <c r="H61" s="186">
        <f>'obrazec 4 - OŠPP'!R17</f>
        <v>0</v>
      </c>
      <c r="I61" s="186">
        <f>'obrazec 4 - OŠPP'!R18</f>
        <v>0</v>
      </c>
      <c r="J61" s="186">
        <f>'obrazec 4 - OŠPP'!R19</f>
        <v>0</v>
      </c>
      <c r="K61" s="186">
        <f>'obrazec 4 - OŠPP'!R20</f>
        <v>0</v>
      </c>
      <c r="L61" s="186">
        <f>'obrazec 4 - OŠPP'!R21</f>
        <v>0</v>
      </c>
      <c r="M61" s="186">
        <f>'obrazec 4 - OŠPP'!R22</f>
        <v>0</v>
      </c>
      <c r="N61" s="186">
        <f>'obrazec 4 - OŠPP'!R23</f>
        <v>0</v>
      </c>
      <c r="O61" s="186">
        <f>'obrazec 4 - OŠPP'!R24</f>
        <v>0</v>
      </c>
      <c r="P61" s="186">
        <f>'obrazec 4 - OŠPP'!R25</f>
        <v>0</v>
      </c>
      <c r="Q61" s="186">
        <f>'obrazec 4 - OŠPP'!R26</f>
        <v>0</v>
      </c>
      <c r="R61" s="186">
        <f>'obrazec 4 - OŠPP'!R27</f>
        <v>0</v>
      </c>
      <c r="S61" s="186">
        <f>'obrazec 4 - OŠPP'!R28</f>
        <v>0</v>
      </c>
      <c r="T61" s="186">
        <f>'obrazec 4 - OŠPP'!R29</f>
        <v>0</v>
      </c>
      <c r="U61" s="186">
        <f>'obrazec 4 - OŠPP'!R30</f>
        <v>0</v>
      </c>
      <c r="V61" s="78">
        <f>'obrazec 4 - OŠPP'!R31</f>
        <v>0</v>
      </c>
    </row>
    <row r="62" spans="2:22" ht="6" customHeight="1" hidden="1">
      <c r="B62" s="177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3:22" ht="14.25">
      <c r="C63" s="60" t="s">
        <v>254</v>
      </c>
      <c r="D63" s="61"/>
      <c r="E63" s="61"/>
      <c r="F63" s="61"/>
      <c r="G63" s="61"/>
      <c r="H63" s="61"/>
      <c r="I63" s="61"/>
      <c r="J63" s="61"/>
      <c r="K63" s="61"/>
      <c r="L63" s="61"/>
      <c r="M63" s="81"/>
      <c r="N63" s="81"/>
      <c r="O63" s="81"/>
      <c r="P63" s="81"/>
      <c r="Q63" s="81"/>
      <c r="R63" s="81"/>
      <c r="S63" s="81"/>
      <c r="T63" s="81"/>
      <c r="U63" s="81"/>
      <c r="V63" s="82"/>
    </row>
    <row r="64" spans="3:22" ht="14.25">
      <c r="C64" s="63">
        <v>1</v>
      </c>
      <c r="D64" s="64" t="s">
        <v>199</v>
      </c>
      <c r="E64" s="64" t="s">
        <v>207</v>
      </c>
      <c r="F64" s="65">
        <v>2</v>
      </c>
      <c r="G64" s="64" t="s">
        <v>200</v>
      </c>
      <c r="H64" s="65">
        <v>3</v>
      </c>
      <c r="I64" s="66" t="s">
        <v>201</v>
      </c>
      <c r="J64" s="65">
        <v>4</v>
      </c>
      <c r="K64" s="66" t="s">
        <v>202</v>
      </c>
      <c r="L64" s="66" t="s">
        <v>208</v>
      </c>
      <c r="M64" s="65">
        <v>5</v>
      </c>
      <c r="N64" s="66" t="s">
        <v>203</v>
      </c>
      <c r="O64" s="65">
        <v>6</v>
      </c>
      <c r="P64" s="66" t="s">
        <v>204</v>
      </c>
      <c r="Q64" s="65">
        <v>7</v>
      </c>
      <c r="R64" s="66" t="s">
        <v>205</v>
      </c>
      <c r="S64" s="66" t="s">
        <v>209</v>
      </c>
      <c r="T64" s="65">
        <v>8</v>
      </c>
      <c r="U64" s="66" t="s">
        <v>206</v>
      </c>
      <c r="V64" s="83">
        <v>9</v>
      </c>
    </row>
    <row r="65" spans="3:22" ht="14.25">
      <c r="C65" s="737">
        <f>B26+K26+T26+AC26+AL26</f>
        <v>0</v>
      </c>
      <c r="D65" s="727"/>
      <c r="E65" s="728"/>
      <c r="F65" s="726">
        <f>C26+L26+U26+AD26+AM26</f>
        <v>0</v>
      </c>
      <c r="G65" s="728"/>
      <c r="H65" s="726">
        <f>D26+M26+V26+AE26+AN26</f>
        <v>0</v>
      </c>
      <c r="I65" s="728"/>
      <c r="J65" s="726">
        <f>E26+N26+W26+AF26+AO26</f>
        <v>0</v>
      </c>
      <c r="K65" s="727"/>
      <c r="L65" s="728"/>
      <c r="M65" s="726">
        <f>F26+O26+X26+AG26+AP26</f>
        <v>0</v>
      </c>
      <c r="N65" s="728"/>
      <c r="O65" s="726">
        <f>G26+P26+Y26+AH26+AQ26</f>
        <v>0</v>
      </c>
      <c r="P65" s="728"/>
      <c r="Q65" s="726">
        <f>H26+Q26+Z26+AI26+AR26</f>
        <v>0</v>
      </c>
      <c r="R65" s="727"/>
      <c r="S65" s="727"/>
      <c r="T65" s="726">
        <f>I26+R26+AA26+AJ26+AS26</f>
        <v>0</v>
      </c>
      <c r="U65" s="728"/>
      <c r="V65" s="84">
        <f>J26+S26+AB26+AK26+AT26</f>
        <v>0</v>
      </c>
    </row>
    <row r="66" spans="2:22" ht="14.25">
      <c r="B66" s="69" t="s">
        <v>229</v>
      </c>
      <c r="C66" s="729">
        <f>C60+D60+T60</f>
        <v>0</v>
      </c>
      <c r="D66" s="723"/>
      <c r="E66" s="724"/>
      <c r="F66" s="722">
        <f>E60+F60</f>
        <v>0</v>
      </c>
      <c r="G66" s="724"/>
      <c r="H66" s="722">
        <f>H60+G60</f>
        <v>0</v>
      </c>
      <c r="I66" s="724"/>
      <c r="J66" s="722">
        <f>I60+J60+U60</f>
        <v>0</v>
      </c>
      <c r="K66" s="723"/>
      <c r="L66" s="724"/>
      <c r="M66" s="722">
        <f>K60+L60</f>
        <v>0</v>
      </c>
      <c r="N66" s="724"/>
      <c r="O66" s="722">
        <f>M60+N60</f>
        <v>0</v>
      </c>
      <c r="P66" s="724"/>
      <c r="Q66" s="722">
        <f>O60+P60+V60</f>
        <v>0</v>
      </c>
      <c r="R66" s="723"/>
      <c r="S66" s="724"/>
      <c r="T66" s="722">
        <f>Q60+R60</f>
        <v>0</v>
      </c>
      <c r="U66" s="724"/>
      <c r="V66" s="85">
        <f>S60</f>
        <v>0</v>
      </c>
    </row>
    <row r="67" spans="2:23" ht="14.25">
      <c r="B67" s="74" t="s">
        <v>230</v>
      </c>
      <c r="C67" s="730">
        <f>C61+D61+T61</f>
        <v>0</v>
      </c>
      <c r="D67" s="725"/>
      <c r="E67" s="721"/>
      <c r="F67" s="720">
        <f>E61+F61</f>
        <v>0</v>
      </c>
      <c r="G67" s="721"/>
      <c r="H67" s="720">
        <f>H61+G61</f>
        <v>0</v>
      </c>
      <c r="I67" s="721"/>
      <c r="J67" s="720">
        <f>I61+J61+U61</f>
        <v>0</v>
      </c>
      <c r="K67" s="725"/>
      <c r="L67" s="721"/>
      <c r="M67" s="720">
        <f>K61+L61</f>
        <v>0</v>
      </c>
      <c r="N67" s="721"/>
      <c r="O67" s="720">
        <f>M61+N61</f>
        <v>0</v>
      </c>
      <c r="P67" s="721"/>
      <c r="Q67" s="720">
        <f>O61+P61+V61</f>
        <v>0</v>
      </c>
      <c r="R67" s="725"/>
      <c r="S67" s="721"/>
      <c r="T67" s="720">
        <f>Q61+R61</f>
        <v>0</v>
      </c>
      <c r="U67" s="721"/>
      <c r="V67" s="78">
        <f>S61</f>
        <v>0</v>
      </c>
      <c r="W67" s="58"/>
    </row>
    <row r="68" spans="2:58" ht="14.25">
      <c r="B68" s="182"/>
      <c r="C68" s="719">
        <f>IF(BF26=0,"",IF(AND(C65&lt;=C67,C65&gt;=C66),"","NAPAKA 2"))</f>
      </c>
      <c r="D68" s="719"/>
      <c r="E68" s="719"/>
      <c r="F68" s="719">
        <f>IF(BF26=0,"",IF(AND(F65&lt;=F67,F65&gt;=F66),"","NAPAKA 2"))</f>
      </c>
      <c r="G68" s="719"/>
      <c r="H68" s="719">
        <f>IF(BF26=0,"",IF(AND(H65&lt;=H67,H65&gt;=H66),"","NAPAKA 2"))</f>
      </c>
      <c r="I68" s="719"/>
      <c r="J68" s="719">
        <f>IF(BF26=0,"",IF(AND(J65&lt;=J67,J65&gt;=J66),"","NAPAKA 2"))</f>
      </c>
      <c r="K68" s="719"/>
      <c r="L68" s="719"/>
      <c r="M68" s="719">
        <f>IF(BF26=0,"",IF(AND(M65&lt;=M67,M65&gt;=M66),"","NAPAKA 2"))</f>
      </c>
      <c r="N68" s="719"/>
      <c r="O68" s="719">
        <f>IF(BF26=0,"",IF(AND(O65&lt;=O67,O65&gt;=O66),"","NAPAKA 2"))</f>
      </c>
      <c r="P68" s="719"/>
      <c r="Q68" s="719">
        <f>IF(BF26=0,"",IF(AND(Q65&lt;=Q67,Q65&gt;=Q66),"","NAPAKA 2"))</f>
      </c>
      <c r="R68" s="719"/>
      <c r="S68" s="719"/>
      <c r="T68" s="719">
        <f>IF(BF26=0,"",IF(AND(T65&lt;=T67,T65&gt;=T66),"","NAPAKA 2"))</f>
      </c>
      <c r="U68" s="719"/>
      <c r="V68" s="87">
        <f>IF(BF26=0,"",IF(AND(V65&lt;=V67,V65&gt;=V66),"","NAPAKA 2"))</f>
      </c>
      <c r="W68" s="88"/>
      <c r="AV68" s="51"/>
      <c r="BF68" s="51">
        <f>IF(COUNTIF($B$68:$AT$68,"NAPAKA 2")&gt;0,"NAPAKA 2","")</f>
      </c>
    </row>
    <row r="69" spans="2:58" ht="14.25">
      <c r="B69" s="182"/>
      <c r="C69" s="719"/>
      <c r="D69" s="719"/>
      <c r="E69" s="719"/>
      <c r="F69" s="719"/>
      <c r="G69" s="719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87"/>
      <c r="BF69" s="4">
        <f>IF(AND(BF24="",BF25="",BF68=""),"","NAPAKA")</f>
      </c>
    </row>
    <row r="70" spans="1:35" ht="14.25">
      <c r="A70" s="4" t="s">
        <v>261</v>
      </c>
      <c r="B70" s="182"/>
      <c r="C70" s="182"/>
      <c r="D70" s="182"/>
      <c r="E70" s="88"/>
      <c r="F70" s="88"/>
      <c r="G70" s="88"/>
      <c r="H70" s="88"/>
      <c r="I70" s="88"/>
      <c r="J70" s="88"/>
      <c r="K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</row>
    <row r="71" spans="1:35" ht="14.25">
      <c r="A71" s="4" t="s">
        <v>271</v>
      </c>
      <c r="B71" s="182"/>
      <c r="C71" s="182"/>
      <c r="D71" s="182"/>
      <c r="E71" s="88"/>
      <c r="F71" s="88"/>
      <c r="G71" s="88"/>
      <c r="H71" s="88"/>
      <c r="I71" s="88"/>
      <c r="J71" s="88"/>
      <c r="K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</row>
    <row r="72" spans="1:35" ht="14.25">
      <c r="A72" s="4" t="s">
        <v>270</v>
      </c>
      <c r="B72" s="182"/>
      <c r="C72" s="182"/>
      <c r="D72" s="182"/>
      <c r="E72" s="88"/>
      <c r="F72" s="88"/>
      <c r="G72" s="88"/>
      <c r="H72" s="88"/>
      <c r="I72" s="88"/>
      <c r="J72" s="88"/>
      <c r="K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</row>
    <row r="73" spans="2:35" ht="14.25">
      <c r="B73" s="182"/>
      <c r="C73" s="182"/>
      <c r="D73" s="182"/>
      <c r="E73" s="88"/>
      <c r="F73" s="88"/>
      <c r="G73" s="88"/>
      <c r="H73" s="88"/>
      <c r="I73" s="88"/>
      <c r="J73" s="88"/>
      <c r="K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</row>
    <row r="74" spans="2:35" ht="14.25">
      <c r="B74" s="182"/>
      <c r="C74" s="182"/>
      <c r="D74" s="182"/>
      <c r="E74" s="88"/>
      <c r="F74" s="88"/>
      <c r="G74" s="88"/>
      <c r="H74" s="88"/>
      <c r="I74" s="88"/>
      <c r="J74" s="88"/>
      <c r="K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</row>
    <row r="75" spans="2:35" ht="14.25">
      <c r="B75" s="182"/>
      <c r="C75" s="182"/>
      <c r="D75" s="182"/>
      <c r="E75" s="88"/>
      <c r="F75" s="88"/>
      <c r="G75" s="88"/>
      <c r="H75" s="88"/>
      <c r="I75" s="88"/>
      <c r="J75" s="88"/>
      <c r="K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</row>
    <row r="76" spans="1:46" ht="14.25" customHeight="1">
      <c r="A76" s="133" t="s">
        <v>21</v>
      </c>
      <c r="B76" s="133"/>
      <c r="C76" s="133"/>
      <c r="D76" s="133"/>
      <c r="E76" s="133"/>
      <c r="O76" s="578" t="s">
        <v>262</v>
      </c>
      <c r="P76" s="578"/>
      <c r="Q76" s="578"/>
      <c r="R76" s="578"/>
      <c r="S76" s="578"/>
      <c r="T76" s="578"/>
      <c r="U76" s="578"/>
      <c r="V76" s="578"/>
      <c r="AN76" s="587" t="s">
        <v>344</v>
      </c>
      <c r="AO76" s="587"/>
      <c r="AP76" s="587"/>
      <c r="AQ76" s="587"/>
      <c r="AR76" s="587"/>
      <c r="AS76" s="587"/>
      <c r="AT76" s="587"/>
    </row>
    <row r="77" spans="16:46" ht="14.25">
      <c r="P77" s="674">
        <f>IF('obrazec 1'!F4="","",IF(COUNT('obrazec 4 - OŠPP'!$D$12:$O$31)=0,"",'obrazec 1'!F12))</f>
      </c>
      <c r="Q77" s="674"/>
      <c r="R77" s="674"/>
      <c r="S77" s="674"/>
      <c r="T77" s="674"/>
      <c r="U77" s="674"/>
      <c r="AN77" s="674">
        <f>IF('obrazec 1'!F4="","",IF(COUNT('obrazec 4 - OŠPP'!D12:O31)=0,"",'obrazec 1'!F4))</f>
      </c>
      <c r="AO77" s="674"/>
      <c r="AP77" s="674"/>
      <c r="AQ77" s="674"/>
      <c r="AR77" s="674"/>
      <c r="AS77" s="674"/>
      <c r="AT77" s="674"/>
    </row>
    <row r="78" spans="1:46" ht="14.25">
      <c r="A78" s="639">
        <f>IF('obrazec 1'!H71="","",IF(COUNT('obrazec 4 - OŠPP'!$D$12:$O$31)=0,"",'obrazec 1'!H71))</f>
      </c>
      <c r="B78" s="639"/>
      <c r="C78" s="639"/>
      <c r="D78" s="639"/>
      <c r="E78" s="639"/>
      <c r="P78" s="639">
        <f>IF('obrazec 1'!F6="","",IF(COUNT('obrazec 4 - OŠPP'!$D$12:$O$31)=0,"",'obrazec 1'!F14))</f>
      </c>
      <c r="Q78" s="639"/>
      <c r="R78" s="639"/>
      <c r="S78" s="639"/>
      <c r="T78" s="639"/>
      <c r="U78" s="639"/>
      <c r="AN78" s="639">
        <f>IF('obrazec 1'!F6="","",IF(COUNT('obrazec 4 - OŠPP'!$D$12:$O$31)=0,"",'obrazec 1'!F6))</f>
      </c>
      <c r="AO78" s="639"/>
      <c r="AP78" s="639"/>
      <c r="AQ78" s="639"/>
      <c r="AR78" s="639"/>
      <c r="AS78" s="639"/>
      <c r="AT78" s="639"/>
    </row>
    <row r="84" ht="14.25">
      <c r="B84" s="182"/>
    </row>
    <row r="85" ht="14.25">
      <c r="B85" s="89"/>
    </row>
    <row r="86" ht="14.25">
      <c r="B86" s="182"/>
    </row>
    <row r="87" ht="14.25">
      <c r="B87" s="89"/>
    </row>
    <row r="88" ht="14.25">
      <c r="B88" s="182"/>
    </row>
    <row r="89" ht="14.25">
      <c r="B89" s="90"/>
    </row>
    <row r="90" ht="14.25">
      <c r="B90" s="182"/>
    </row>
    <row r="91" ht="14.25">
      <c r="B91" s="90"/>
    </row>
    <row r="92" ht="14.25">
      <c r="B92" s="182"/>
    </row>
    <row r="93" ht="14.25">
      <c r="B93" s="90"/>
    </row>
    <row r="94" ht="14.25">
      <c r="B94" s="182"/>
    </row>
    <row r="95" ht="14.25">
      <c r="B95" s="90"/>
    </row>
    <row r="96" ht="14.25">
      <c r="B96" s="182"/>
    </row>
    <row r="97" ht="14.25">
      <c r="B97" s="90"/>
    </row>
    <row r="98" ht="14.25">
      <c r="B98" s="182"/>
    </row>
    <row r="99" ht="14.25">
      <c r="B99" s="90"/>
    </row>
    <row r="100" ht="14.25">
      <c r="B100" s="182"/>
    </row>
    <row r="101" ht="14.25">
      <c r="B101" s="90"/>
    </row>
    <row r="102" ht="14.25">
      <c r="B102" s="90"/>
    </row>
    <row r="103" ht="14.25">
      <c r="B103" s="90"/>
    </row>
    <row r="104" ht="14.25">
      <c r="B104" s="90"/>
    </row>
  </sheetData>
  <sheetProtection password="C86A" sheet="1" selectLockedCells="1"/>
  <mergeCells count="63">
    <mergeCell ref="P78:U78"/>
    <mergeCell ref="C66:E66"/>
    <mergeCell ref="F66:G66"/>
    <mergeCell ref="H66:I66"/>
    <mergeCell ref="J66:L66"/>
    <mergeCell ref="M66:N66"/>
    <mergeCell ref="P77:U77"/>
    <mergeCell ref="F69:G69"/>
    <mergeCell ref="H69:I69"/>
    <mergeCell ref="J69:L69"/>
    <mergeCell ref="AN77:AT77"/>
    <mergeCell ref="AN78:AT78"/>
    <mergeCell ref="O66:P66"/>
    <mergeCell ref="C68:E68"/>
    <mergeCell ref="F68:G68"/>
    <mergeCell ref="H68:I68"/>
    <mergeCell ref="J68:L68"/>
    <mergeCell ref="M68:N68"/>
    <mergeCell ref="A78:E78"/>
    <mergeCell ref="C69:E69"/>
    <mergeCell ref="C67:E67"/>
    <mergeCell ref="F67:G67"/>
    <mergeCell ref="H67:I67"/>
    <mergeCell ref="J67:L67"/>
    <mergeCell ref="T66:U66"/>
    <mergeCell ref="M67:N67"/>
    <mergeCell ref="M69:N69"/>
    <mergeCell ref="O68:P68"/>
    <mergeCell ref="O67:P67"/>
    <mergeCell ref="Q68:S68"/>
    <mergeCell ref="T68:U68"/>
    <mergeCell ref="Q65:S65"/>
    <mergeCell ref="T65:U65"/>
    <mergeCell ref="T67:U67"/>
    <mergeCell ref="O76:V76"/>
    <mergeCell ref="O69:P69"/>
    <mergeCell ref="Q69:S69"/>
    <mergeCell ref="T69:U69"/>
    <mergeCell ref="Q67:S67"/>
    <mergeCell ref="Q66:S66"/>
    <mergeCell ref="A2:AT2"/>
    <mergeCell ref="AL10:AT10"/>
    <mergeCell ref="A6:D6"/>
    <mergeCell ref="E6:L6"/>
    <mergeCell ref="N6:P6"/>
    <mergeCell ref="Q6:AB6"/>
    <mergeCell ref="AH6:AI6"/>
    <mergeCell ref="C65:E65"/>
    <mergeCell ref="F65:G65"/>
    <mergeCell ref="H65:I65"/>
    <mergeCell ref="J65:L65"/>
    <mergeCell ref="M65:N65"/>
    <mergeCell ref="O65:P65"/>
    <mergeCell ref="B22:AS22"/>
    <mergeCell ref="B23:AS23"/>
    <mergeCell ref="AC10:AK10"/>
    <mergeCell ref="AN76:AT76"/>
    <mergeCell ref="A8:J8"/>
    <mergeCell ref="K8:M8"/>
    <mergeCell ref="K9:M9"/>
    <mergeCell ref="B10:J10"/>
    <mergeCell ref="K10:S10"/>
    <mergeCell ref="T10:AB10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65" r:id="rId1"/>
  <headerFooter>
    <oddFooter>&amp;R&amp;K00-024&amp;A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R64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7.7109375" style="306" customWidth="1"/>
    <col min="2" max="3" width="7.28125" style="306" customWidth="1"/>
    <col min="4" max="4" width="1.7109375" style="306" customWidth="1"/>
    <col min="5" max="5" width="4.7109375" style="306" customWidth="1"/>
    <col min="6" max="7" width="8.57421875" style="306" customWidth="1"/>
    <col min="8" max="8" width="3.140625" style="306" customWidth="1"/>
    <col min="9" max="9" width="4.7109375" style="306" customWidth="1"/>
    <col min="10" max="11" width="8.57421875" style="306" customWidth="1"/>
    <col min="12" max="12" width="3.140625" style="306" customWidth="1"/>
    <col min="13" max="13" width="4.7109375" style="306" customWidth="1"/>
    <col min="14" max="15" width="8.57421875" style="306" customWidth="1"/>
    <col min="16" max="16" width="3.140625" style="306" customWidth="1"/>
    <col min="17" max="16384" width="8.8515625" style="306" customWidth="1"/>
  </cols>
  <sheetData>
    <row r="1" ht="4.5" customHeight="1"/>
    <row r="2" spans="1:16" ht="15" customHeight="1">
      <c r="A2" s="755">
        <f>IF('obrazec 1'!F4="","",'obrazec 1'!F4)</f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307"/>
    </row>
    <row r="3" ht="4.5" customHeight="1"/>
    <row r="4" spans="1:17" ht="14.25" customHeight="1">
      <c r="A4" s="754" t="s">
        <v>323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308"/>
    </row>
    <row r="5" ht="14.25" customHeight="1"/>
    <row r="6" s="309" customFormat="1" ht="12">
      <c r="A6" s="309" t="s">
        <v>390</v>
      </c>
    </row>
    <row r="7" ht="14.25">
      <c r="A7" s="309" t="s">
        <v>389</v>
      </c>
    </row>
    <row r="8" spans="1:16" ht="14.25">
      <c r="A8"/>
      <c r="B8"/>
      <c r="C8"/>
      <c r="P8" s="310"/>
    </row>
    <row r="9" spans="1:16" ht="14.25">
      <c r="A9" s="420" t="s">
        <v>105</v>
      </c>
      <c r="B9" s="418" t="s">
        <v>306</v>
      </c>
      <c r="C9" s="419" t="s">
        <v>307</v>
      </c>
      <c r="E9" s="310" t="s">
        <v>158</v>
      </c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1"/>
    </row>
    <row r="10" spans="1:16" ht="14.25">
      <c r="A10" s="312" t="s">
        <v>106</v>
      </c>
      <c r="B10" s="352"/>
      <c r="C10" s="451"/>
      <c r="E10" s="311" t="s">
        <v>159</v>
      </c>
      <c r="F10" s="750" t="s">
        <v>99</v>
      </c>
      <c r="G10" s="750"/>
      <c r="H10" s="311"/>
      <c r="I10" s="311" t="s">
        <v>159</v>
      </c>
      <c r="J10" s="750" t="s">
        <v>99</v>
      </c>
      <c r="K10" s="750"/>
      <c r="L10" s="311"/>
      <c r="M10" s="311" t="s">
        <v>159</v>
      </c>
      <c r="N10" s="750" t="s">
        <v>99</v>
      </c>
      <c r="O10" s="750"/>
      <c r="P10" s="313">
        <f aca="true" t="shared" si="0" ref="P10:P30">COUNTIF($C$10:$C$61,M11)</f>
        <v>0</v>
      </c>
    </row>
    <row r="11" spans="1:16" ht="14.25">
      <c r="A11" s="315" t="s">
        <v>107</v>
      </c>
      <c r="B11" s="353"/>
      <c r="C11" s="452"/>
      <c r="E11" s="356">
        <v>1</v>
      </c>
      <c r="F11" s="747" t="s">
        <v>39</v>
      </c>
      <c r="G11" s="747"/>
      <c r="H11" s="313">
        <f>COUNTIF($C$10:$C$61,E11)</f>
        <v>0</v>
      </c>
      <c r="I11" s="357">
        <v>22</v>
      </c>
      <c r="J11" s="314" t="s">
        <v>60</v>
      </c>
      <c r="K11" s="314"/>
      <c r="L11" s="313">
        <f aca="true" t="shared" si="1" ref="L11:L31">COUNTIF($C$10:$C$61,I11)</f>
        <v>0</v>
      </c>
      <c r="M11" s="357">
        <v>43</v>
      </c>
      <c r="N11" s="746" t="s">
        <v>80</v>
      </c>
      <c r="O11" s="746"/>
      <c r="P11" s="313">
        <f t="shared" si="0"/>
        <v>0</v>
      </c>
    </row>
    <row r="12" spans="1:16" ht="14.25">
      <c r="A12" s="315" t="s">
        <v>108</v>
      </c>
      <c r="B12" s="353"/>
      <c r="C12" s="452"/>
      <c r="E12" s="356">
        <v>2</v>
      </c>
      <c r="F12" s="747" t="s">
        <v>40</v>
      </c>
      <c r="G12" s="747"/>
      <c r="H12" s="313">
        <f aca="true" t="shared" si="2" ref="H12:H31">COUNTIF($C$10:$C$61,E12)</f>
        <v>0</v>
      </c>
      <c r="I12" s="357">
        <v>23</v>
      </c>
      <c r="J12" s="747" t="s">
        <v>61</v>
      </c>
      <c r="K12" s="747"/>
      <c r="L12" s="313">
        <f t="shared" si="1"/>
        <v>0</v>
      </c>
      <c r="M12" s="357">
        <v>44</v>
      </c>
      <c r="N12" s="746" t="s">
        <v>81</v>
      </c>
      <c r="O12" s="746"/>
      <c r="P12" s="313">
        <f t="shared" si="0"/>
        <v>0</v>
      </c>
    </row>
    <row r="13" spans="1:16" ht="14.25">
      <c r="A13" s="315" t="s">
        <v>109</v>
      </c>
      <c r="B13" s="353"/>
      <c r="C13" s="452"/>
      <c r="E13" s="356">
        <v>3</v>
      </c>
      <c r="F13" s="747" t="s">
        <v>41</v>
      </c>
      <c r="G13" s="747"/>
      <c r="H13" s="313">
        <f t="shared" si="2"/>
        <v>0</v>
      </c>
      <c r="I13" s="357">
        <v>24</v>
      </c>
      <c r="J13" s="747" t="s">
        <v>62</v>
      </c>
      <c r="K13" s="747"/>
      <c r="L13" s="313">
        <f t="shared" si="1"/>
        <v>0</v>
      </c>
      <c r="M13" s="357">
        <v>45</v>
      </c>
      <c r="N13" s="746" t="s">
        <v>82</v>
      </c>
      <c r="O13" s="746"/>
      <c r="P13" s="313">
        <f t="shared" si="0"/>
        <v>0</v>
      </c>
    </row>
    <row r="14" spans="1:16" ht="14.25">
      <c r="A14" s="315" t="s">
        <v>110</v>
      </c>
      <c r="B14" s="353"/>
      <c r="C14" s="452"/>
      <c r="E14" s="356">
        <v>4</v>
      </c>
      <c r="F14" s="747" t="s">
        <v>42</v>
      </c>
      <c r="G14" s="747"/>
      <c r="H14" s="313">
        <f t="shared" si="2"/>
        <v>0</v>
      </c>
      <c r="I14" s="357">
        <v>25</v>
      </c>
      <c r="J14" s="747" t="s">
        <v>63</v>
      </c>
      <c r="K14" s="747"/>
      <c r="L14" s="313">
        <f t="shared" si="1"/>
        <v>0</v>
      </c>
      <c r="M14" s="357">
        <v>46</v>
      </c>
      <c r="N14" s="746" t="s">
        <v>93</v>
      </c>
      <c r="O14" s="746"/>
      <c r="P14" s="313">
        <f t="shared" si="0"/>
        <v>0</v>
      </c>
    </row>
    <row r="15" spans="1:16" ht="14.25">
      <c r="A15" s="315" t="s">
        <v>111</v>
      </c>
      <c r="B15" s="353"/>
      <c r="C15" s="452"/>
      <c r="E15" s="356">
        <v>5</v>
      </c>
      <c r="F15" s="747" t="s">
        <v>43</v>
      </c>
      <c r="G15" s="747"/>
      <c r="H15" s="313">
        <f t="shared" si="2"/>
        <v>0</v>
      </c>
      <c r="I15" s="357">
        <v>26</v>
      </c>
      <c r="J15" s="747" t="s">
        <v>64</v>
      </c>
      <c r="K15" s="747"/>
      <c r="L15" s="313">
        <f t="shared" si="1"/>
        <v>0</v>
      </c>
      <c r="M15" s="357">
        <v>47</v>
      </c>
      <c r="N15" s="746" t="s">
        <v>160</v>
      </c>
      <c r="O15" s="746"/>
      <c r="P15" s="313">
        <f t="shared" si="0"/>
        <v>0</v>
      </c>
    </row>
    <row r="16" spans="1:16" ht="14.25">
      <c r="A16" s="315" t="s">
        <v>112</v>
      </c>
      <c r="B16" s="353"/>
      <c r="C16" s="452"/>
      <c r="E16" s="356">
        <v>6</v>
      </c>
      <c r="F16" s="747" t="s">
        <v>44</v>
      </c>
      <c r="G16" s="747"/>
      <c r="H16" s="313">
        <f t="shared" si="2"/>
        <v>0</v>
      </c>
      <c r="I16" s="357">
        <v>27</v>
      </c>
      <c r="J16" s="747" t="s">
        <v>65</v>
      </c>
      <c r="K16" s="747"/>
      <c r="L16" s="313">
        <f t="shared" si="1"/>
        <v>0</v>
      </c>
      <c r="M16" s="357">
        <v>48</v>
      </c>
      <c r="N16" s="746" t="s">
        <v>83</v>
      </c>
      <c r="O16" s="746"/>
      <c r="P16" s="313">
        <f t="shared" si="0"/>
        <v>0</v>
      </c>
    </row>
    <row r="17" spans="1:16" ht="14.25">
      <c r="A17" s="315" t="s">
        <v>113</v>
      </c>
      <c r="B17" s="353"/>
      <c r="C17" s="452"/>
      <c r="E17" s="356">
        <v>7</v>
      </c>
      <c r="F17" s="747" t="s">
        <v>45</v>
      </c>
      <c r="G17" s="747"/>
      <c r="H17" s="313">
        <f t="shared" si="2"/>
        <v>0</v>
      </c>
      <c r="I17" s="357">
        <v>28</v>
      </c>
      <c r="J17" s="747" t="s">
        <v>66</v>
      </c>
      <c r="K17" s="747"/>
      <c r="L17" s="313">
        <f t="shared" si="1"/>
        <v>0</v>
      </c>
      <c r="M17" s="357">
        <v>49</v>
      </c>
      <c r="N17" s="746" t="s">
        <v>84</v>
      </c>
      <c r="O17" s="746"/>
      <c r="P17" s="313">
        <f t="shared" si="0"/>
        <v>0</v>
      </c>
    </row>
    <row r="18" spans="1:16" ht="14.25">
      <c r="A18" s="315" t="s">
        <v>114</v>
      </c>
      <c r="B18" s="353"/>
      <c r="C18" s="452"/>
      <c r="E18" s="356">
        <v>8</v>
      </c>
      <c r="F18" s="747" t="s">
        <v>46</v>
      </c>
      <c r="G18" s="747"/>
      <c r="H18" s="313">
        <f t="shared" si="2"/>
        <v>0</v>
      </c>
      <c r="I18" s="357">
        <v>29</v>
      </c>
      <c r="J18" s="747" t="s">
        <v>67</v>
      </c>
      <c r="K18" s="747"/>
      <c r="L18" s="313">
        <f t="shared" si="1"/>
        <v>0</v>
      </c>
      <c r="M18" s="357">
        <v>50</v>
      </c>
      <c r="N18" s="746" t="s">
        <v>85</v>
      </c>
      <c r="O18" s="746"/>
      <c r="P18" s="313">
        <f t="shared" si="0"/>
        <v>0</v>
      </c>
    </row>
    <row r="19" spans="1:16" ht="14.25">
      <c r="A19" s="315" t="s">
        <v>115</v>
      </c>
      <c r="B19" s="353"/>
      <c r="C19" s="452"/>
      <c r="E19" s="356">
        <v>9</v>
      </c>
      <c r="F19" s="747" t="s">
        <v>47</v>
      </c>
      <c r="G19" s="747"/>
      <c r="H19" s="313">
        <f t="shared" si="2"/>
        <v>0</v>
      </c>
      <c r="I19" s="357">
        <v>30</v>
      </c>
      <c r="J19" s="747" t="s">
        <v>68</v>
      </c>
      <c r="K19" s="747"/>
      <c r="L19" s="313">
        <f t="shared" si="1"/>
        <v>0</v>
      </c>
      <c r="M19" s="357">
        <v>51</v>
      </c>
      <c r="N19" s="746" t="s">
        <v>86</v>
      </c>
      <c r="O19" s="746"/>
      <c r="P19" s="313">
        <f t="shared" si="0"/>
        <v>0</v>
      </c>
    </row>
    <row r="20" spans="1:16" ht="14.25">
      <c r="A20" s="315" t="s">
        <v>116</v>
      </c>
      <c r="B20" s="353"/>
      <c r="C20" s="452"/>
      <c r="E20" s="356">
        <v>10</v>
      </c>
      <c r="F20" s="747" t="s">
        <v>48</v>
      </c>
      <c r="G20" s="747"/>
      <c r="H20" s="313">
        <f t="shared" si="2"/>
        <v>0</v>
      </c>
      <c r="I20" s="357">
        <v>31</v>
      </c>
      <c r="J20" s="747" t="s">
        <v>69</v>
      </c>
      <c r="K20" s="747"/>
      <c r="L20" s="313">
        <f t="shared" si="1"/>
        <v>0</v>
      </c>
      <c r="M20" s="357">
        <v>52</v>
      </c>
      <c r="N20" s="746" t="s">
        <v>87</v>
      </c>
      <c r="O20" s="746"/>
      <c r="P20" s="313">
        <f t="shared" si="0"/>
        <v>0</v>
      </c>
    </row>
    <row r="21" spans="1:16" ht="14.25">
      <c r="A21" s="315" t="s">
        <v>117</v>
      </c>
      <c r="B21" s="353"/>
      <c r="C21" s="452"/>
      <c r="E21" s="356">
        <v>11</v>
      </c>
      <c r="F21" s="747" t="s">
        <v>49</v>
      </c>
      <c r="G21" s="747"/>
      <c r="H21" s="313">
        <f t="shared" si="2"/>
        <v>0</v>
      </c>
      <c r="I21" s="357">
        <v>32</v>
      </c>
      <c r="J21" s="747" t="s">
        <v>70</v>
      </c>
      <c r="K21" s="747"/>
      <c r="L21" s="313">
        <f t="shared" si="1"/>
        <v>0</v>
      </c>
      <c r="M21" s="357">
        <v>53</v>
      </c>
      <c r="N21" s="746" t="s">
        <v>88</v>
      </c>
      <c r="O21" s="746"/>
      <c r="P21" s="313">
        <f t="shared" si="0"/>
        <v>0</v>
      </c>
    </row>
    <row r="22" spans="1:16" ht="14.25">
      <c r="A22" s="315" t="s">
        <v>118</v>
      </c>
      <c r="B22" s="353"/>
      <c r="C22" s="452"/>
      <c r="E22" s="356">
        <v>12</v>
      </c>
      <c r="F22" s="747" t="s">
        <v>50</v>
      </c>
      <c r="G22" s="747"/>
      <c r="H22" s="313">
        <f t="shared" si="2"/>
        <v>0</v>
      </c>
      <c r="I22" s="357">
        <v>33</v>
      </c>
      <c r="J22" s="747" t="s">
        <v>71</v>
      </c>
      <c r="K22" s="747"/>
      <c r="L22" s="313">
        <f t="shared" si="1"/>
        <v>0</v>
      </c>
      <c r="M22" s="357">
        <v>54</v>
      </c>
      <c r="N22" s="746" t="s">
        <v>89</v>
      </c>
      <c r="O22" s="746"/>
      <c r="P22" s="313">
        <f t="shared" si="0"/>
        <v>0</v>
      </c>
    </row>
    <row r="23" spans="1:16" ht="14.25">
      <c r="A23" s="315" t="s">
        <v>119</v>
      </c>
      <c r="B23" s="353"/>
      <c r="C23" s="452"/>
      <c r="E23" s="356">
        <v>13</v>
      </c>
      <c r="F23" s="747" t="s">
        <v>51</v>
      </c>
      <c r="G23" s="747"/>
      <c r="H23" s="313">
        <f t="shared" si="2"/>
        <v>0</v>
      </c>
      <c r="I23" s="357">
        <v>34</v>
      </c>
      <c r="J23" s="747" t="s">
        <v>72</v>
      </c>
      <c r="K23" s="747"/>
      <c r="L23" s="313">
        <f t="shared" si="1"/>
        <v>0</v>
      </c>
      <c r="M23" s="357">
        <v>55</v>
      </c>
      <c r="N23" s="746" t="s">
        <v>90</v>
      </c>
      <c r="O23" s="746"/>
      <c r="P23" s="313">
        <f t="shared" si="0"/>
        <v>0</v>
      </c>
    </row>
    <row r="24" spans="1:16" ht="14.25">
      <c r="A24" s="315" t="s">
        <v>120</v>
      </c>
      <c r="B24" s="353"/>
      <c r="C24" s="452"/>
      <c r="E24" s="356">
        <v>14</v>
      </c>
      <c r="F24" s="747" t="s">
        <v>52</v>
      </c>
      <c r="G24" s="747"/>
      <c r="H24" s="313">
        <f t="shared" si="2"/>
        <v>0</v>
      </c>
      <c r="I24" s="357">
        <v>35</v>
      </c>
      <c r="J24" s="747" t="s">
        <v>73</v>
      </c>
      <c r="K24" s="747"/>
      <c r="L24" s="313">
        <f t="shared" si="1"/>
        <v>0</v>
      </c>
      <c r="M24" s="357">
        <v>56</v>
      </c>
      <c r="N24" s="746" t="s">
        <v>91</v>
      </c>
      <c r="O24" s="746"/>
      <c r="P24" s="313">
        <f t="shared" si="0"/>
        <v>0</v>
      </c>
    </row>
    <row r="25" spans="1:16" ht="14.25">
      <c r="A25" s="315" t="s">
        <v>121</v>
      </c>
      <c r="B25" s="353"/>
      <c r="C25" s="452"/>
      <c r="E25" s="356">
        <v>15</v>
      </c>
      <c r="F25" s="747" t="s">
        <v>53</v>
      </c>
      <c r="G25" s="747"/>
      <c r="H25" s="313">
        <f t="shared" si="2"/>
        <v>0</v>
      </c>
      <c r="I25" s="357">
        <v>36</v>
      </c>
      <c r="J25" s="747" t="s">
        <v>74</v>
      </c>
      <c r="K25" s="747"/>
      <c r="L25" s="313">
        <f t="shared" si="1"/>
        <v>0</v>
      </c>
      <c r="M25" s="357">
        <v>57</v>
      </c>
      <c r="N25" s="746" t="s">
        <v>92</v>
      </c>
      <c r="O25" s="746"/>
      <c r="P25" s="313">
        <f t="shared" si="0"/>
        <v>0</v>
      </c>
    </row>
    <row r="26" spans="1:16" ht="14.25">
      <c r="A26" s="315" t="s">
        <v>122</v>
      </c>
      <c r="B26" s="353"/>
      <c r="C26" s="452"/>
      <c r="E26" s="356">
        <v>16</v>
      </c>
      <c r="F26" s="747" t="s">
        <v>54</v>
      </c>
      <c r="G26" s="747"/>
      <c r="H26" s="313">
        <f t="shared" si="2"/>
        <v>0</v>
      </c>
      <c r="I26" s="357">
        <v>37</v>
      </c>
      <c r="J26" s="747" t="s">
        <v>75</v>
      </c>
      <c r="K26" s="747"/>
      <c r="L26" s="313">
        <f t="shared" si="1"/>
        <v>0</v>
      </c>
      <c r="M26" s="356">
        <v>58</v>
      </c>
      <c r="N26" s="752"/>
      <c r="O26" s="752"/>
      <c r="P26" s="313">
        <f t="shared" si="0"/>
        <v>0</v>
      </c>
    </row>
    <row r="27" spans="1:16" ht="14.25">
      <c r="A27" s="315" t="s">
        <v>123</v>
      </c>
      <c r="B27" s="353"/>
      <c r="C27" s="452"/>
      <c r="E27" s="356">
        <v>17</v>
      </c>
      <c r="F27" s="747" t="s">
        <v>55</v>
      </c>
      <c r="G27" s="747"/>
      <c r="H27" s="313">
        <f t="shared" si="2"/>
        <v>0</v>
      </c>
      <c r="I27" s="357">
        <v>38</v>
      </c>
      <c r="J27" s="747" t="s">
        <v>76</v>
      </c>
      <c r="K27" s="747"/>
      <c r="L27" s="313">
        <f t="shared" si="1"/>
        <v>0</v>
      </c>
      <c r="M27" s="356">
        <v>59</v>
      </c>
      <c r="N27" s="753"/>
      <c r="O27" s="753"/>
      <c r="P27" s="313">
        <f t="shared" si="0"/>
        <v>0</v>
      </c>
    </row>
    <row r="28" spans="1:17" ht="14.25">
      <c r="A28" s="315" t="s">
        <v>124</v>
      </c>
      <c r="B28" s="353"/>
      <c r="C28" s="452"/>
      <c r="E28" s="356">
        <v>18</v>
      </c>
      <c r="F28" s="747" t="s">
        <v>56</v>
      </c>
      <c r="G28" s="747"/>
      <c r="H28" s="313">
        <f t="shared" si="2"/>
        <v>0</v>
      </c>
      <c r="I28" s="357">
        <v>39</v>
      </c>
      <c r="J28" s="747" t="s">
        <v>77</v>
      </c>
      <c r="K28" s="747"/>
      <c r="L28" s="313">
        <f t="shared" si="1"/>
        <v>0</v>
      </c>
      <c r="M28" s="356">
        <v>60</v>
      </c>
      <c r="N28" s="751"/>
      <c r="O28" s="751"/>
      <c r="P28" s="313">
        <f t="shared" si="0"/>
        <v>0</v>
      </c>
      <c r="Q28" s="316"/>
    </row>
    <row r="29" spans="1:17" ht="14.25">
      <c r="A29" s="315" t="s">
        <v>125</v>
      </c>
      <c r="B29" s="353"/>
      <c r="C29" s="452"/>
      <c r="E29" s="356">
        <v>19</v>
      </c>
      <c r="F29" s="747" t="s">
        <v>57</v>
      </c>
      <c r="G29" s="747"/>
      <c r="H29" s="313">
        <f t="shared" si="2"/>
        <v>0</v>
      </c>
      <c r="I29" s="357">
        <v>40</v>
      </c>
      <c r="J29" s="747" t="s">
        <v>78</v>
      </c>
      <c r="K29" s="747"/>
      <c r="L29" s="313">
        <f t="shared" si="1"/>
        <v>0</v>
      </c>
      <c r="M29" s="356">
        <v>61</v>
      </c>
      <c r="N29" s="748" t="s">
        <v>345</v>
      </c>
      <c r="O29" s="748"/>
      <c r="P29" s="313">
        <f t="shared" si="0"/>
        <v>0</v>
      </c>
      <c r="Q29" s="316"/>
    </row>
    <row r="30" spans="1:17" ht="14.25">
      <c r="A30" s="315" t="s">
        <v>126</v>
      </c>
      <c r="B30" s="353"/>
      <c r="C30" s="452"/>
      <c r="E30" s="356">
        <v>20</v>
      </c>
      <c r="F30" s="747" t="s">
        <v>58</v>
      </c>
      <c r="G30" s="747"/>
      <c r="H30" s="313">
        <f t="shared" si="2"/>
        <v>0</v>
      </c>
      <c r="I30" s="357">
        <v>41</v>
      </c>
      <c r="J30" s="747" t="s">
        <v>79</v>
      </c>
      <c r="K30" s="747"/>
      <c r="L30" s="313">
        <f t="shared" si="1"/>
        <v>0</v>
      </c>
      <c r="M30" s="356">
        <v>62</v>
      </c>
      <c r="N30" s="749" t="s">
        <v>309</v>
      </c>
      <c r="O30" s="749"/>
      <c r="P30" s="313">
        <f t="shared" si="0"/>
        <v>0</v>
      </c>
      <c r="Q30" s="316"/>
    </row>
    <row r="31" spans="1:17" ht="14.25">
      <c r="A31" s="315" t="s">
        <v>127</v>
      </c>
      <c r="B31" s="353"/>
      <c r="C31" s="452"/>
      <c r="E31" s="356">
        <v>21</v>
      </c>
      <c r="F31" s="747" t="s">
        <v>59</v>
      </c>
      <c r="G31" s="747"/>
      <c r="H31" s="313">
        <f t="shared" si="2"/>
        <v>0</v>
      </c>
      <c r="I31" s="357">
        <v>42</v>
      </c>
      <c r="J31" s="747" t="s">
        <v>94</v>
      </c>
      <c r="K31" s="747"/>
      <c r="L31" s="313">
        <f t="shared" si="1"/>
        <v>0</v>
      </c>
      <c r="M31" s="356">
        <v>63</v>
      </c>
      <c r="N31" s="749" t="s">
        <v>347</v>
      </c>
      <c r="O31" s="749"/>
      <c r="P31" s="421"/>
      <c r="Q31" s="316"/>
    </row>
    <row r="32" spans="1:16" ht="14.25">
      <c r="A32" s="315" t="s">
        <v>128</v>
      </c>
      <c r="B32" s="353"/>
      <c r="C32" s="452"/>
      <c r="H32" s="317"/>
      <c r="L32" s="317"/>
      <c r="N32" s="421" t="s">
        <v>346</v>
      </c>
      <c r="O32" s="421"/>
      <c r="P32" s="313">
        <f>COUNTIF($P$10:$P$30,"&gt;0")</f>
        <v>0</v>
      </c>
    </row>
    <row r="33" spans="1:12" ht="14.25">
      <c r="A33" s="315" t="s">
        <v>129</v>
      </c>
      <c r="B33" s="353"/>
      <c r="C33" s="452"/>
      <c r="H33" s="313">
        <f>COUNTIF($H$11:$H$31,"&gt;0")</f>
        <v>0</v>
      </c>
      <c r="L33" s="313">
        <f>COUNTIF($L$11:$L$31,"&gt;0")</f>
        <v>0</v>
      </c>
    </row>
    <row r="34" spans="1:3" ht="14.25">
      <c r="A34" s="315" t="s">
        <v>130</v>
      </c>
      <c r="B34" s="353"/>
      <c r="C34" s="452"/>
    </row>
    <row r="35" spans="1:3" ht="14.25">
      <c r="A35" s="315" t="s">
        <v>131</v>
      </c>
      <c r="B35" s="353"/>
      <c r="C35" s="452"/>
    </row>
    <row r="36" spans="1:10" ht="14.25">
      <c r="A36" s="315" t="s">
        <v>132</v>
      </c>
      <c r="B36" s="353"/>
      <c r="C36" s="452"/>
      <c r="F36" s="756" t="s">
        <v>21</v>
      </c>
      <c r="G36" s="756"/>
      <c r="H36" s="756"/>
      <c r="I36" s="756"/>
      <c r="J36" s="756"/>
    </row>
    <row r="37" spans="1:5" ht="14.25">
      <c r="A37" s="315" t="s">
        <v>133</v>
      </c>
      <c r="B37" s="353"/>
      <c r="C37" s="452"/>
      <c r="E37" s="318"/>
    </row>
    <row r="38" spans="1:12" ht="14.25">
      <c r="A38" s="315" t="s">
        <v>134</v>
      </c>
      <c r="B38" s="353"/>
      <c r="C38" s="452"/>
      <c r="F38" s="758">
        <f>IF('obrazec 2'!A3="","",'obrazec 2'!A3)</f>
      </c>
      <c r="G38" s="758"/>
      <c r="H38" s="758"/>
      <c r="I38" s="758"/>
      <c r="J38" s="758"/>
      <c r="K38" s="758"/>
      <c r="L38" s="319"/>
    </row>
    <row r="39" spans="1:5" ht="14.25">
      <c r="A39" s="315" t="s">
        <v>135</v>
      </c>
      <c r="B39" s="353"/>
      <c r="C39" s="452"/>
      <c r="E39" s="318"/>
    </row>
    <row r="40" spans="1:5" ht="14.25">
      <c r="A40" s="315" t="s">
        <v>136</v>
      </c>
      <c r="B40" s="353"/>
      <c r="C40" s="452"/>
      <c r="E40" s="318"/>
    </row>
    <row r="41" spans="1:3" ht="14.25">
      <c r="A41" s="315" t="s">
        <v>137</v>
      </c>
      <c r="B41" s="353"/>
      <c r="C41" s="452"/>
    </row>
    <row r="42" spans="1:10" ht="14.25">
      <c r="A42" s="315" t="s">
        <v>138</v>
      </c>
      <c r="B42" s="353"/>
      <c r="C42" s="452"/>
      <c r="F42" s="756" t="s">
        <v>262</v>
      </c>
      <c r="G42" s="756"/>
      <c r="H42" s="756"/>
      <c r="I42" s="756"/>
      <c r="J42" s="756"/>
    </row>
    <row r="43" spans="1:11" ht="14.25">
      <c r="A43" s="315" t="s">
        <v>139</v>
      </c>
      <c r="B43" s="353"/>
      <c r="C43" s="452"/>
      <c r="F43" s="757">
        <f>IF('obrazec 1'!F4="","",'obrazec 1'!F12)</f>
      </c>
      <c r="G43" s="757"/>
      <c r="H43" s="757"/>
      <c r="I43" s="757"/>
      <c r="J43" s="757"/>
      <c r="K43" s="757"/>
    </row>
    <row r="44" spans="1:12" ht="14.25">
      <c r="A44" s="315" t="s">
        <v>140</v>
      </c>
      <c r="B44" s="353"/>
      <c r="C44" s="452"/>
      <c r="F44" s="759">
        <f>IF('obrazec 1'!F6="","",'obrazec 1'!F14)</f>
      </c>
      <c r="G44" s="759"/>
      <c r="H44" s="759"/>
      <c r="I44" s="759"/>
      <c r="J44" s="759"/>
      <c r="K44" s="759"/>
      <c r="L44" s="320"/>
    </row>
    <row r="45" spans="1:3" ht="14.25">
      <c r="A45" s="315" t="s">
        <v>141</v>
      </c>
      <c r="B45" s="353"/>
      <c r="C45" s="452"/>
    </row>
    <row r="46" spans="1:3" ht="14.25">
      <c r="A46" s="315" t="s">
        <v>142</v>
      </c>
      <c r="B46" s="353"/>
      <c r="C46" s="452"/>
    </row>
    <row r="47" spans="1:3" ht="14.25">
      <c r="A47" s="315" t="s">
        <v>143</v>
      </c>
      <c r="B47" s="353"/>
      <c r="C47" s="452"/>
    </row>
    <row r="48" spans="1:13" ht="14.25">
      <c r="A48" s="315" t="s">
        <v>144</v>
      </c>
      <c r="B48" s="353"/>
      <c r="C48" s="452"/>
      <c r="F48" s="756" t="s">
        <v>344</v>
      </c>
      <c r="G48" s="756"/>
      <c r="H48" s="756"/>
      <c r="I48" s="756"/>
      <c r="J48" s="756"/>
      <c r="K48" s="756"/>
      <c r="L48" s="756"/>
      <c r="M48" s="756"/>
    </row>
    <row r="49" spans="1:13" ht="14.25">
      <c r="A49" s="315" t="s">
        <v>145</v>
      </c>
      <c r="B49" s="353"/>
      <c r="C49" s="452"/>
      <c r="E49" s="318"/>
      <c r="F49" s="757">
        <f>IF('obrazec 1'!F4="","",'obrazec 1'!F4)</f>
      </c>
      <c r="G49" s="757"/>
      <c r="H49" s="757"/>
      <c r="I49" s="757"/>
      <c r="J49" s="757"/>
      <c r="K49" s="757"/>
      <c r="L49" s="322"/>
      <c r="M49" s="322"/>
    </row>
    <row r="50" spans="1:13" ht="14.25">
      <c r="A50" s="315" t="s">
        <v>146</v>
      </c>
      <c r="B50" s="353"/>
      <c r="C50" s="452"/>
      <c r="F50" s="758">
        <f>IF('obrazec 1'!F6="","",'obrazec 1'!F6)</f>
      </c>
      <c r="G50" s="758"/>
      <c r="H50" s="758"/>
      <c r="I50" s="758"/>
      <c r="J50" s="758"/>
      <c r="K50" s="758"/>
      <c r="L50" s="319"/>
      <c r="M50" s="323"/>
    </row>
    <row r="51" spans="1:3" ht="14.25">
      <c r="A51" s="315" t="s">
        <v>147</v>
      </c>
      <c r="B51" s="353"/>
      <c r="C51" s="452"/>
    </row>
    <row r="52" spans="1:3" ht="14.25">
      <c r="A52" s="315" t="s">
        <v>148</v>
      </c>
      <c r="B52" s="353"/>
      <c r="C52" s="452"/>
    </row>
    <row r="53" spans="1:3" ht="14.25">
      <c r="A53" s="315" t="s">
        <v>149</v>
      </c>
      <c r="B53" s="353"/>
      <c r="C53" s="452"/>
    </row>
    <row r="54" spans="1:13" ht="14.25">
      <c r="A54" s="315" t="s">
        <v>150</v>
      </c>
      <c r="B54" s="353"/>
      <c r="C54" s="452"/>
      <c r="F54"/>
      <c r="G54"/>
      <c r="H54"/>
      <c r="I54"/>
      <c r="J54"/>
      <c r="K54"/>
      <c r="L54"/>
      <c r="M54"/>
    </row>
    <row r="55" spans="1:13" ht="14.25">
      <c r="A55" s="315" t="s">
        <v>151</v>
      </c>
      <c r="B55" s="353"/>
      <c r="C55" s="452"/>
      <c r="E55" s="321"/>
      <c r="F55"/>
      <c r="G55"/>
      <c r="H55"/>
      <c r="I55"/>
      <c r="J55"/>
      <c r="K55"/>
      <c r="L55"/>
      <c r="M55"/>
    </row>
    <row r="56" spans="1:13" ht="14.25">
      <c r="A56" s="315" t="s">
        <v>152</v>
      </c>
      <c r="B56" s="353"/>
      <c r="C56" s="452"/>
      <c r="F56"/>
      <c r="G56"/>
      <c r="H56"/>
      <c r="I56"/>
      <c r="J56"/>
      <c r="K56"/>
      <c r="L56"/>
      <c r="M56"/>
    </row>
    <row r="57" spans="1:3" ht="14.25">
      <c r="A57" s="315" t="s">
        <v>153</v>
      </c>
      <c r="B57" s="353"/>
      <c r="C57" s="452"/>
    </row>
    <row r="58" spans="1:3" ht="14.25">
      <c r="A58" s="315" t="s">
        <v>154</v>
      </c>
      <c r="B58" s="353"/>
      <c r="C58" s="452"/>
    </row>
    <row r="59" spans="1:3" ht="14.25">
      <c r="A59" s="315" t="s">
        <v>155</v>
      </c>
      <c r="B59" s="353"/>
      <c r="C59" s="452"/>
    </row>
    <row r="60" spans="1:3" ht="14.25">
      <c r="A60" s="315" t="s">
        <v>156</v>
      </c>
      <c r="B60" s="353"/>
      <c r="C60" s="452"/>
    </row>
    <row r="61" spans="1:3" ht="14.25">
      <c r="A61" s="324" t="s">
        <v>157</v>
      </c>
      <c r="B61" s="354"/>
      <c r="C61" s="453"/>
    </row>
    <row r="62" spans="1:3" ht="14.25">
      <c r="A62" s="325" t="s">
        <v>308</v>
      </c>
      <c r="B62" s="355">
        <f>IF(COUNTIF($B$10:$B$61,"&gt;0")=0,0,IF(LARGE($B$10:$B$61,1)&gt;8,"NAPAKA",SUM(B10:B61)))</f>
        <v>0</v>
      </c>
      <c r="C62" s="326"/>
    </row>
    <row r="63" spans="1:18" ht="14.25">
      <c r="A63" s="318"/>
      <c r="B63" s="327">
        <f>IF(B62=0,0,LARGE($B$10:$B$61,1))</f>
        <v>0</v>
      </c>
      <c r="C63" s="318"/>
      <c r="D63" s="318"/>
      <c r="E63" s="321">
        <f>IF($B$63&gt;8,"NAPAKA - največje možno število ur na dan je 8. POPRAVITE !","")</f>
      </c>
      <c r="P63" s="318"/>
      <c r="Q63" s="318"/>
      <c r="R63" s="318"/>
    </row>
    <row r="64" spans="5:15" ht="14.25"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</row>
  </sheetData>
  <sheetProtection password="C86A" sheet="1" objects="1" scenarios="1" selectLockedCells="1"/>
  <mergeCells count="76">
    <mergeCell ref="J14:K14"/>
    <mergeCell ref="F15:G15"/>
    <mergeCell ref="J15:K15"/>
    <mergeCell ref="F16:G16"/>
    <mergeCell ref="J16:K16"/>
    <mergeCell ref="F50:K50"/>
    <mergeCell ref="F48:J48"/>
    <mergeCell ref="F36:J36"/>
    <mergeCell ref="F38:K38"/>
    <mergeCell ref="F44:K44"/>
    <mergeCell ref="F42:J42"/>
    <mergeCell ref="K48:M48"/>
    <mergeCell ref="F49:K49"/>
    <mergeCell ref="F43:K43"/>
    <mergeCell ref="F13:G13"/>
    <mergeCell ref="F11:G11"/>
    <mergeCell ref="F12:G12"/>
    <mergeCell ref="J12:K12"/>
    <mergeCell ref="F26:G26"/>
    <mergeCell ref="J26:K26"/>
    <mergeCell ref="A4:P4"/>
    <mergeCell ref="J13:K13"/>
    <mergeCell ref="J27:K27"/>
    <mergeCell ref="F28:G28"/>
    <mergeCell ref="J28:K28"/>
    <mergeCell ref="A2:O2"/>
    <mergeCell ref="N10:O10"/>
    <mergeCell ref="N11:O11"/>
    <mergeCell ref="N12:O12"/>
    <mergeCell ref="N13:O13"/>
    <mergeCell ref="F10:G10"/>
    <mergeCell ref="J10:K10"/>
    <mergeCell ref="N28:O28"/>
    <mergeCell ref="F24:G24"/>
    <mergeCell ref="J24:K24"/>
    <mergeCell ref="F25:G25"/>
    <mergeCell ref="J25:K25"/>
    <mergeCell ref="N26:O26"/>
    <mergeCell ref="N27:O27"/>
    <mergeCell ref="N25:O25"/>
    <mergeCell ref="J30:K30"/>
    <mergeCell ref="J20:K20"/>
    <mergeCell ref="F21:G21"/>
    <mergeCell ref="J21:K21"/>
    <mergeCell ref="F22:G22"/>
    <mergeCell ref="J22:K22"/>
    <mergeCell ref="F29:G29"/>
    <mergeCell ref="J29:K29"/>
    <mergeCell ref="F20:G20"/>
    <mergeCell ref="F27:G27"/>
    <mergeCell ref="N30:O30"/>
    <mergeCell ref="N31:O31"/>
    <mergeCell ref="J17:K17"/>
    <mergeCell ref="F18:G18"/>
    <mergeCell ref="J18:K18"/>
    <mergeCell ref="F14:G14"/>
    <mergeCell ref="F30:G30"/>
    <mergeCell ref="F19:G19"/>
    <mergeCell ref="J19:K19"/>
    <mergeCell ref="F17:G17"/>
    <mergeCell ref="N14:O14"/>
    <mergeCell ref="N17:O17"/>
    <mergeCell ref="N18:O18"/>
    <mergeCell ref="F31:G31"/>
    <mergeCell ref="J31:K31"/>
    <mergeCell ref="N23:O23"/>
    <mergeCell ref="F23:G23"/>
    <mergeCell ref="J23:K23"/>
    <mergeCell ref="N24:O24"/>
    <mergeCell ref="N29:O29"/>
    <mergeCell ref="N19:O19"/>
    <mergeCell ref="N20:O20"/>
    <mergeCell ref="N21:O21"/>
    <mergeCell ref="N22:O22"/>
    <mergeCell ref="N15:O15"/>
    <mergeCell ref="N16:O16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scale="90" r:id="rId1"/>
  <headerFooter>
    <oddFooter>&amp;R&amp;K00-024&amp;A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DF62"/>
  <sheetViews>
    <sheetView showGridLines="0" zoomScalePageLayoutView="0" workbookViewId="0" topLeftCell="A1">
      <selection activeCell="AC11" sqref="AC11:AK11"/>
    </sheetView>
  </sheetViews>
  <sheetFormatPr defaultColWidth="9.140625" defaultRowHeight="15"/>
  <cols>
    <col min="1" max="1" width="20.28125" style="4" customWidth="1"/>
    <col min="2" max="2" width="2.28125" style="4" bestFit="1" customWidth="1"/>
    <col min="3" max="3" width="1.28515625" style="4" bestFit="1" customWidth="1"/>
    <col min="4" max="4" width="2.28125" style="4" bestFit="1" customWidth="1"/>
    <col min="5" max="5" width="1.28515625" style="4" bestFit="1" customWidth="1"/>
    <col min="6" max="6" width="2.28125" style="4" bestFit="1" customWidth="1"/>
    <col min="7" max="7" width="1.28515625" style="4" bestFit="1" customWidth="1"/>
    <col min="8" max="8" width="2.28125" style="4" bestFit="1" customWidth="1"/>
    <col min="9" max="9" width="1.28515625" style="4" bestFit="1" customWidth="1"/>
    <col min="10" max="11" width="2.28125" style="4" bestFit="1" customWidth="1"/>
    <col min="12" max="12" width="1.28515625" style="4" bestFit="1" customWidth="1"/>
    <col min="13" max="13" width="2.28125" style="4" bestFit="1" customWidth="1"/>
    <col min="14" max="14" width="1.28515625" style="4" bestFit="1" customWidth="1"/>
    <col min="15" max="15" width="2.28125" style="4" bestFit="1" customWidth="1"/>
    <col min="16" max="16" width="1.28515625" style="4" bestFit="1" customWidth="1"/>
    <col min="17" max="17" width="2.28125" style="4" bestFit="1" customWidth="1"/>
    <col min="18" max="18" width="1.28515625" style="4" bestFit="1" customWidth="1"/>
    <col min="19" max="20" width="2.28125" style="4" bestFit="1" customWidth="1"/>
    <col min="21" max="21" width="1.28515625" style="4" bestFit="1" customWidth="1"/>
    <col min="22" max="22" width="2.28125" style="4" bestFit="1" customWidth="1"/>
    <col min="23" max="23" width="1.28515625" style="4" bestFit="1" customWidth="1"/>
    <col min="24" max="24" width="2.28125" style="4" bestFit="1" customWidth="1"/>
    <col min="25" max="25" width="1.28515625" style="4" bestFit="1" customWidth="1"/>
    <col min="26" max="26" width="2.28125" style="4" bestFit="1" customWidth="1"/>
    <col min="27" max="27" width="1.28515625" style="4" bestFit="1" customWidth="1"/>
    <col min="28" max="29" width="2.28125" style="4" bestFit="1" customWidth="1"/>
    <col min="30" max="30" width="1.28515625" style="4" bestFit="1" customWidth="1"/>
    <col min="31" max="31" width="2.28125" style="4" bestFit="1" customWidth="1"/>
    <col min="32" max="32" width="1.28515625" style="4" bestFit="1" customWidth="1"/>
    <col min="33" max="33" width="2.28125" style="4" bestFit="1" customWidth="1"/>
    <col min="34" max="34" width="1.28515625" style="4" bestFit="1" customWidth="1"/>
    <col min="35" max="35" width="2.28125" style="4" bestFit="1" customWidth="1"/>
    <col min="36" max="36" width="1.28515625" style="4" bestFit="1" customWidth="1"/>
    <col min="37" max="38" width="2.28125" style="4" bestFit="1" customWidth="1"/>
    <col min="39" max="39" width="1.28515625" style="4" bestFit="1" customWidth="1"/>
    <col min="40" max="40" width="2.28125" style="4" bestFit="1" customWidth="1"/>
    <col min="41" max="41" width="1.28515625" style="4" bestFit="1" customWidth="1"/>
    <col min="42" max="42" width="2.28125" style="4" bestFit="1" customWidth="1"/>
    <col min="43" max="43" width="1.28515625" style="4" bestFit="1" customWidth="1"/>
    <col min="44" max="44" width="2.28125" style="4" bestFit="1" customWidth="1"/>
    <col min="45" max="45" width="1.28515625" style="4" bestFit="1" customWidth="1"/>
    <col min="46" max="47" width="2.28125" style="4" bestFit="1" customWidth="1"/>
    <col min="48" max="48" width="1.28515625" style="4" bestFit="1" customWidth="1"/>
    <col min="49" max="49" width="2.28125" style="4" bestFit="1" customWidth="1"/>
    <col min="50" max="50" width="1.28515625" style="4" bestFit="1" customWidth="1"/>
    <col min="51" max="51" width="2.28125" style="4" bestFit="1" customWidth="1"/>
    <col min="52" max="52" width="1.28515625" style="4" bestFit="1" customWidth="1"/>
    <col min="53" max="53" width="2.28125" style="4" bestFit="1" customWidth="1"/>
    <col min="54" max="54" width="1.28515625" style="4" bestFit="1" customWidth="1"/>
    <col min="55" max="56" width="2.28125" style="4" bestFit="1" customWidth="1"/>
    <col min="57" max="57" width="1.28515625" style="4" bestFit="1" customWidth="1"/>
    <col min="58" max="58" width="2.28125" style="4" bestFit="1" customWidth="1"/>
    <col min="59" max="59" width="1.28515625" style="4" bestFit="1" customWidth="1"/>
    <col min="60" max="60" width="2.28125" style="4" bestFit="1" customWidth="1"/>
    <col min="61" max="61" width="1.28515625" style="4" bestFit="1" customWidth="1"/>
    <col min="62" max="62" width="2.28125" style="4" bestFit="1" customWidth="1"/>
    <col min="63" max="63" width="1.28515625" style="4" bestFit="1" customWidth="1"/>
    <col min="64" max="65" width="2.28125" style="4" bestFit="1" customWidth="1"/>
    <col min="66" max="66" width="1.28515625" style="4" bestFit="1" customWidth="1"/>
    <col min="67" max="67" width="2.28125" style="4" bestFit="1" customWidth="1"/>
    <col min="68" max="68" width="1.28515625" style="4" bestFit="1" customWidth="1"/>
    <col min="69" max="69" width="2.28125" style="4" bestFit="1" customWidth="1"/>
    <col min="70" max="70" width="1.28515625" style="4" bestFit="1" customWidth="1"/>
    <col min="71" max="71" width="2.28125" style="4" bestFit="1" customWidth="1"/>
    <col min="72" max="72" width="1.28515625" style="4" bestFit="1" customWidth="1"/>
    <col min="73" max="74" width="2.28125" style="4" bestFit="1" customWidth="1"/>
    <col min="75" max="75" width="1.28515625" style="4" bestFit="1" customWidth="1"/>
    <col min="76" max="76" width="2.28125" style="4" bestFit="1" customWidth="1"/>
    <col min="77" max="77" width="1.28515625" style="4" bestFit="1" customWidth="1"/>
    <col min="78" max="78" width="2.28125" style="4" bestFit="1" customWidth="1"/>
    <col min="79" max="79" width="1.28515625" style="4" bestFit="1" customWidth="1"/>
    <col min="80" max="80" width="2.28125" style="4" bestFit="1" customWidth="1"/>
    <col min="81" max="81" width="1.28515625" style="4" bestFit="1" customWidth="1"/>
    <col min="82" max="82" width="2.28125" style="4" bestFit="1" customWidth="1"/>
    <col min="83" max="83" width="2.28125" style="4" customWidth="1"/>
    <col min="84" max="84" width="1.28515625" style="4" bestFit="1" customWidth="1"/>
    <col min="85" max="85" width="2.28125" style="4" customWidth="1"/>
    <col min="86" max="86" width="1.28515625" style="4" bestFit="1" customWidth="1"/>
    <col min="87" max="87" width="2.28125" style="4" customWidth="1"/>
    <col min="88" max="88" width="1.28515625" style="4" bestFit="1" customWidth="1"/>
    <col min="89" max="89" width="2.28125" style="4" customWidth="1"/>
    <col min="90" max="90" width="1.28515625" style="4" bestFit="1" customWidth="1"/>
    <col min="91" max="91" width="2.28125" style="4" customWidth="1"/>
    <col min="92" max="16384" width="8.8515625" style="4" customWidth="1"/>
  </cols>
  <sheetData>
    <row r="1" ht="4.5" customHeight="1"/>
    <row r="2" spans="1:104" ht="15" customHeight="1">
      <c r="A2" s="762">
        <f>IF('obrazec 1'!F4="","",'obrazec 1'!F4)</f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2"/>
      <c r="AP2" s="762"/>
      <c r="AQ2" s="762"/>
      <c r="AR2" s="762"/>
      <c r="AS2" s="762"/>
      <c r="AT2" s="762"/>
      <c r="AU2" s="762"/>
      <c r="AV2" s="762"/>
      <c r="AW2" s="762"/>
      <c r="AX2" s="762"/>
      <c r="AY2" s="762"/>
      <c r="AZ2" s="762"/>
      <c r="BA2" s="762"/>
      <c r="BB2" s="762"/>
      <c r="BC2" s="762"/>
      <c r="BD2" s="762"/>
      <c r="BE2" s="762"/>
      <c r="BF2" s="762"/>
      <c r="BG2" s="762"/>
      <c r="BH2" s="762"/>
      <c r="BI2" s="762"/>
      <c r="BJ2" s="762"/>
      <c r="BK2" s="762"/>
      <c r="BL2" s="762"/>
      <c r="BM2" s="762"/>
      <c r="BN2" s="762"/>
      <c r="BO2" s="762"/>
      <c r="BP2" s="762"/>
      <c r="BQ2" s="762"/>
      <c r="BR2" s="762"/>
      <c r="BS2" s="762"/>
      <c r="BT2" s="762"/>
      <c r="BU2" s="762"/>
      <c r="BV2" s="762"/>
      <c r="BW2" s="762"/>
      <c r="BX2" s="762"/>
      <c r="BY2" s="762"/>
      <c r="BZ2" s="762"/>
      <c r="CA2" s="762"/>
      <c r="CB2" s="762"/>
      <c r="CC2" s="762"/>
      <c r="CD2" s="762"/>
      <c r="CE2" s="762"/>
      <c r="CF2" s="762"/>
      <c r="CG2" s="762"/>
      <c r="CH2" s="762"/>
      <c r="CI2" s="762"/>
      <c r="CJ2" s="762"/>
      <c r="CK2" s="762"/>
      <c r="CL2" s="762"/>
      <c r="CM2" s="762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</row>
    <row r="3" ht="4.5" customHeight="1"/>
    <row r="4" spans="1:102" ht="14.25">
      <c r="A4" s="578" t="s">
        <v>331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8"/>
      <c r="BJ4" s="578"/>
      <c r="BK4" s="578"/>
      <c r="BL4" s="578"/>
      <c r="BM4" s="578"/>
      <c r="BN4" s="578"/>
      <c r="BO4" s="578"/>
      <c r="BP4" s="578"/>
      <c r="BQ4" s="578"/>
      <c r="BR4" s="578"/>
      <c r="BS4" s="578"/>
      <c r="BT4" s="578"/>
      <c r="BU4" s="578"/>
      <c r="BV4" s="578"/>
      <c r="BW4" s="578"/>
      <c r="BX4" s="578"/>
      <c r="BY4" s="578"/>
      <c r="BZ4" s="578"/>
      <c r="CA4" s="578"/>
      <c r="CB4" s="578"/>
      <c r="CC4" s="578"/>
      <c r="CD4" s="578"/>
      <c r="CE4" s="578"/>
      <c r="CF4" s="578"/>
      <c r="CG4" s="578"/>
      <c r="CH4" s="578"/>
      <c r="CI4" s="578"/>
      <c r="CJ4" s="578"/>
      <c r="CK4" s="578"/>
      <c r="CL4" s="578"/>
      <c r="CM4" s="578"/>
      <c r="CO4" s="133"/>
      <c r="CP4" s="133"/>
      <c r="CQ4" s="133"/>
      <c r="CR4" s="133"/>
      <c r="CS4" s="133"/>
      <c r="CT4" s="133"/>
      <c r="CU4" s="133"/>
      <c r="CV4" s="133"/>
      <c r="CW4" s="133"/>
      <c r="CX4" s="133"/>
    </row>
    <row r="5" spans="1:99" ht="3.7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O5" s="88"/>
      <c r="CP5" s="88"/>
      <c r="CQ5" s="88"/>
      <c r="CR5" s="183"/>
      <c r="CS5" s="58"/>
      <c r="CT5" s="58"/>
      <c r="CU5" s="58"/>
    </row>
    <row r="6" spans="1:91" ht="14.25">
      <c r="A6" s="763" t="s">
        <v>295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3"/>
      <c r="AS6" s="763"/>
      <c r="AT6" s="763"/>
      <c r="AU6" s="763"/>
      <c r="AV6" s="763"/>
      <c r="AW6" s="763"/>
      <c r="AX6" s="763"/>
      <c r="AY6" s="763"/>
      <c r="AZ6" s="763"/>
      <c r="BA6" s="763"/>
      <c r="BB6" s="763"/>
      <c r="BC6" s="763"/>
      <c r="BD6" s="763"/>
      <c r="BE6" s="763"/>
      <c r="BF6" s="763"/>
      <c r="BG6" s="763"/>
      <c r="BH6" s="763"/>
      <c r="BI6" s="763"/>
      <c r="BJ6" s="763"/>
      <c r="BK6" s="763"/>
      <c r="BL6" s="763"/>
      <c r="BM6" s="763"/>
      <c r="BN6" s="763"/>
      <c r="BO6" s="763"/>
      <c r="BP6" s="763"/>
      <c r="BQ6" s="763"/>
      <c r="BR6" s="763"/>
      <c r="BS6" s="763"/>
      <c r="BT6" s="763"/>
      <c r="BU6" s="763"/>
      <c r="BV6" s="763"/>
      <c r="BW6" s="763"/>
      <c r="BX6" s="763"/>
      <c r="BY6" s="763"/>
      <c r="BZ6" s="763"/>
      <c r="CA6" s="763"/>
      <c r="CB6" s="763"/>
      <c r="CC6" s="763"/>
      <c r="CD6" s="763"/>
      <c r="CE6" s="763"/>
      <c r="CF6" s="763"/>
      <c r="CG6" s="763"/>
      <c r="CH6" s="763"/>
      <c r="CI6" s="763"/>
      <c r="CJ6" s="763"/>
      <c r="CK6" s="763"/>
      <c r="CL6" s="763"/>
      <c r="CM6" s="763"/>
    </row>
    <row r="7" spans="1:91" ht="14.25">
      <c r="A7" s="273"/>
      <c r="B7" s="784" t="s">
        <v>175</v>
      </c>
      <c r="C7" s="771"/>
      <c r="D7" s="771"/>
      <c r="E7" s="771"/>
      <c r="F7" s="771"/>
      <c r="G7" s="771"/>
      <c r="H7" s="771"/>
      <c r="I7" s="771"/>
      <c r="J7" s="771"/>
      <c r="K7" s="771" t="s">
        <v>176</v>
      </c>
      <c r="L7" s="771"/>
      <c r="M7" s="771"/>
      <c r="N7" s="771"/>
      <c r="O7" s="771"/>
      <c r="P7" s="771"/>
      <c r="Q7" s="771"/>
      <c r="R7" s="771"/>
      <c r="S7" s="771"/>
      <c r="T7" s="771" t="s">
        <v>177</v>
      </c>
      <c r="U7" s="771"/>
      <c r="V7" s="771"/>
      <c r="W7" s="771"/>
      <c r="X7" s="771"/>
      <c r="Y7" s="771"/>
      <c r="Z7" s="771"/>
      <c r="AA7" s="771"/>
      <c r="AB7" s="771"/>
      <c r="AC7" s="771" t="s">
        <v>178</v>
      </c>
      <c r="AD7" s="771"/>
      <c r="AE7" s="771"/>
      <c r="AF7" s="771"/>
      <c r="AG7" s="771"/>
      <c r="AH7" s="771"/>
      <c r="AI7" s="771"/>
      <c r="AJ7" s="771"/>
      <c r="AK7" s="771"/>
      <c r="AL7" s="771" t="s">
        <v>179</v>
      </c>
      <c r="AM7" s="771"/>
      <c r="AN7" s="771"/>
      <c r="AO7" s="771"/>
      <c r="AP7" s="771"/>
      <c r="AQ7" s="771"/>
      <c r="AR7" s="771"/>
      <c r="AS7" s="771"/>
      <c r="AT7" s="771"/>
      <c r="AU7" s="771" t="s">
        <v>175</v>
      </c>
      <c r="AV7" s="771"/>
      <c r="AW7" s="771"/>
      <c r="AX7" s="771"/>
      <c r="AY7" s="771"/>
      <c r="AZ7" s="771"/>
      <c r="BA7" s="771"/>
      <c r="BB7" s="771"/>
      <c r="BC7" s="771"/>
      <c r="BD7" s="771" t="s">
        <v>176</v>
      </c>
      <c r="BE7" s="771"/>
      <c r="BF7" s="771"/>
      <c r="BG7" s="771"/>
      <c r="BH7" s="771"/>
      <c r="BI7" s="771"/>
      <c r="BJ7" s="771"/>
      <c r="BK7" s="771"/>
      <c r="BL7" s="771"/>
      <c r="BM7" s="771" t="s">
        <v>177</v>
      </c>
      <c r="BN7" s="771"/>
      <c r="BO7" s="771"/>
      <c r="BP7" s="771"/>
      <c r="BQ7" s="771"/>
      <c r="BR7" s="771"/>
      <c r="BS7" s="771"/>
      <c r="BT7" s="771"/>
      <c r="BU7" s="771"/>
      <c r="BV7" s="771" t="s">
        <v>178</v>
      </c>
      <c r="BW7" s="771"/>
      <c r="BX7" s="771"/>
      <c r="BY7" s="771"/>
      <c r="BZ7" s="771"/>
      <c r="CA7" s="771"/>
      <c r="CB7" s="771"/>
      <c r="CC7" s="771"/>
      <c r="CD7" s="771"/>
      <c r="CE7" s="771" t="s">
        <v>179</v>
      </c>
      <c r="CF7" s="771"/>
      <c r="CG7" s="771"/>
      <c r="CH7" s="771"/>
      <c r="CI7" s="771"/>
      <c r="CJ7" s="771"/>
      <c r="CK7" s="771"/>
      <c r="CL7" s="771"/>
      <c r="CM7" s="797"/>
    </row>
    <row r="8" spans="1:91" ht="14.25">
      <c r="A8" s="252" t="s">
        <v>310</v>
      </c>
      <c r="B8" s="804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0"/>
      <c r="AQ8" s="800"/>
      <c r="AR8" s="800"/>
      <c r="AS8" s="800"/>
      <c r="AT8" s="800"/>
      <c r="AU8" s="800"/>
      <c r="AV8" s="800"/>
      <c r="AW8" s="800"/>
      <c r="AX8" s="800"/>
      <c r="AY8" s="800"/>
      <c r="AZ8" s="800"/>
      <c r="BA8" s="800"/>
      <c r="BB8" s="800"/>
      <c r="BC8" s="800"/>
      <c r="BD8" s="800"/>
      <c r="BE8" s="800"/>
      <c r="BF8" s="800"/>
      <c r="BG8" s="800"/>
      <c r="BH8" s="800"/>
      <c r="BI8" s="800"/>
      <c r="BJ8" s="800"/>
      <c r="BK8" s="800"/>
      <c r="BL8" s="800"/>
      <c r="BM8" s="800"/>
      <c r="BN8" s="800"/>
      <c r="BO8" s="800"/>
      <c r="BP8" s="800"/>
      <c r="BQ8" s="800"/>
      <c r="BR8" s="800"/>
      <c r="BS8" s="800"/>
      <c r="BT8" s="800"/>
      <c r="BU8" s="800"/>
      <c r="BV8" s="800"/>
      <c r="BW8" s="800"/>
      <c r="BX8" s="800"/>
      <c r="BY8" s="800"/>
      <c r="BZ8" s="800"/>
      <c r="CA8" s="800"/>
      <c r="CB8" s="800"/>
      <c r="CC8" s="800"/>
      <c r="CD8" s="800"/>
      <c r="CE8" s="801"/>
      <c r="CF8" s="802"/>
      <c r="CG8" s="802"/>
      <c r="CH8" s="802"/>
      <c r="CI8" s="802"/>
      <c r="CJ8" s="802"/>
      <c r="CK8" s="802"/>
      <c r="CL8" s="802"/>
      <c r="CM8" s="803"/>
    </row>
    <row r="9" spans="1:91" ht="14.25">
      <c r="A9" s="253" t="s">
        <v>311</v>
      </c>
      <c r="B9" s="783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772"/>
      <c r="BB9" s="772"/>
      <c r="BC9" s="772"/>
      <c r="BD9" s="772"/>
      <c r="BE9" s="772"/>
      <c r="BF9" s="772"/>
      <c r="BG9" s="772"/>
      <c r="BH9" s="772"/>
      <c r="BI9" s="772"/>
      <c r="BJ9" s="772"/>
      <c r="BK9" s="772"/>
      <c r="BL9" s="772"/>
      <c r="BM9" s="772"/>
      <c r="BN9" s="772"/>
      <c r="BO9" s="772"/>
      <c r="BP9" s="772"/>
      <c r="BQ9" s="772"/>
      <c r="BR9" s="772"/>
      <c r="BS9" s="772"/>
      <c r="BT9" s="772"/>
      <c r="BU9" s="772"/>
      <c r="BV9" s="772"/>
      <c r="BW9" s="772"/>
      <c r="BX9" s="772"/>
      <c r="BY9" s="772"/>
      <c r="BZ9" s="772"/>
      <c r="CA9" s="772"/>
      <c r="CB9" s="772"/>
      <c r="CC9" s="772"/>
      <c r="CD9" s="772"/>
      <c r="CE9" s="772"/>
      <c r="CF9" s="772"/>
      <c r="CG9" s="772"/>
      <c r="CH9" s="772"/>
      <c r="CI9" s="772"/>
      <c r="CJ9" s="772"/>
      <c r="CK9" s="772"/>
      <c r="CL9" s="772"/>
      <c r="CM9" s="799"/>
    </row>
    <row r="10" spans="1:91" ht="14.25">
      <c r="A10" s="253" t="s">
        <v>312</v>
      </c>
      <c r="B10" s="783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2"/>
      <c r="AR10" s="772"/>
      <c r="AS10" s="772"/>
      <c r="AT10" s="772"/>
      <c r="AU10" s="785"/>
      <c r="AV10" s="785"/>
      <c r="AW10" s="785"/>
      <c r="AX10" s="785"/>
      <c r="AY10" s="785"/>
      <c r="AZ10" s="785"/>
      <c r="BA10" s="785"/>
      <c r="BB10" s="785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785"/>
      <c r="BR10" s="785"/>
      <c r="BS10" s="785"/>
      <c r="BT10" s="785"/>
      <c r="BU10" s="785"/>
      <c r="BV10" s="785"/>
      <c r="BW10" s="785"/>
      <c r="BX10" s="785"/>
      <c r="BY10" s="785"/>
      <c r="BZ10" s="785"/>
      <c r="CA10" s="785"/>
      <c r="CB10" s="785"/>
      <c r="CC10" s="785"/>
      <c r="CD10" s="785"/>
      <c r="CE10" s="785"/>
      <c r="CF10" s="785"/>
      <c r="CG10" s="785"/>
      <c r="CH10" s="785"/>
      <c r="CI10" s="785"/>
      <c r="CJ10" s="785"/>
      <c r="CK10" s="785"/>
      <c r="CL10" s="785"/>
      <c r="CM10" s="786"/>
    </row>
    <row r="11" spans="1:91" ht="14.25">
      <c r="A11" s="253" t="s">
        <v>313</v>
      </c>
      <c r="B11" s="783"/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2"/>
      <c r="AE11" s="772"/>
      <c r="AF11" s="772"/>
      <c r="AG11" s="772"/>
      <c r="AH11" s="772"/>
      <c r="AI11" s="772"/>
      <c r="AJ11" s="772"/>
      <c r="AK11" s="772"/>
      <c r="AL11" s="772"/>
      <c r="AM11" s="772"/>
      <c r="AN11" s="772"/>
      <c r="AO11" s="772"/>
      <c r="AP11" s="772"/>
      <c r="AQ11" s="772"/>
      <c r="AR11" s="772"/>
      <c r="AS11" s="772"/>
      <c r="AT11" s="773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76"/>
      <c r="CF11" s="776"/>
      <c r="CG11" s="776"/>
      <c r="CH11" s="776"/>
      <c r="CI11" s="776"/>
      <c r="CJ11" s="776"/>
      <c r="CK11" s="776"/>
      <c r="CL11" s="776"/>
      <c r="CM11" s="787"/>
    </row>
    <row r="12" spans="1:91" ht="14.25">
      <c r="A12" s="254" t="s">
        <v>314</v>
      </c>
      <c r="B12" s="783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772"/>
      <c r="R12" s="772"/>
      <c r="S12" s="772"/>
      <c r="T12" s="772"/>
      <c r="U12" s="772"/>
      <c r="V12" s="772"/>
      <c r="W12" s="772"/>
      <c r="X12" s="772"/>
      <c r="Y12" s="772"/>
      <c r="Z12" s="772"/>
      <c r="AA12" s="772"/>
      <c r="AB12" s="772"/>
      <c r="AC12" s="772"/>
      <c r="AD12" s="772"/>
      <c r="AE12" s="772"/>
      <c r="AF12" s="772"/>
      <c r="AG12" s="772"/>
      <c r="AH12" s="772"/>
      <c r="AI12" s="772"/>
      <c r="AJ12" s="772"/>
      <c r="AK12" s="772"/>
      <c r="AL12" s="772"/>
      <c r="AM12" s="772"/>
      <c r="AN12" s="772"/>
      <c r="AO12" s="772"/>
      <c r="AP12" s="772"/>
      <c r="AQ12" s="772"/>
      <c r="AR12" s="772"/>
      <c r="AS12" s="772"/>
      <c r="AT12" s="773"/>
      <c r="AU12" s="778"/>
      <c r="AV12" s="779"/>
      <c r="AW12" s="779"/>
      <c r="AX12" s="779"/>
      <c r="AY12" s="779"/>
      <c r="AZ12" s="779"/>
      <c r="BA12" s="779"/>
      <c r="BB12" s="779"/>
      <c r="BC12" s="779"/>
      <c r="BD12" s="779"/>
      <c r="BE12" s="779"/>
      <c r="BF12" s="779"/>
      <c r="BG12" s="779"/>
      <c r="BH12" s="779"/>
      <c r="BI12" s="779"/>
      <c r="BJ12" s="779"/>
      <c r="BK12" s="779"/>
      <c r="BL12" s="779"/>
      <c r="BM12" s="779"/>
      <c r="BN12" s="779"/>
      <c r="BO12" s="779"/>
      <c r="BP12" s="779"/>
      <c r="BQ12" s="779"/>
      <c r="BR12" s="779"/>
      <c r="BS12" s="779"/>
      <c r="BT12" s="779"/>
      <c r="BU12" s="779"/>
      <c r="BV12" s="779"/>
      <c r="BW12" s="779"/>
      <c r="BX12" s="779"/>
      <c r="BY12" s="779"/>
      <c r="BZ12" s="779"/>
      <c r="CA12" s="779"/>
      <c r="CB12" s="779"/>
      <c r="CC12" s="779"/>
      <c r="CD12" s="779"/>
      <c r="CE12" s="779"/>
      <c r="CF12" s="779"/>
      <c r="CG12" s="779"/>
      <c r="CH12" s="779"/>
      <c r="CI12" s="779"/>
      <c r="CJ12" s="779"/>
      <c r="CK12" s="779"/>
      <c r="CL12" s="779"/>
      <c r="CM12" s="779"/>
    </row>
    <row r="13" spans="1:91" ht="14.25">
      <c r="A13" s="254" t="s">
        <v>315</v>
      </c>
      <c r="B13" s="783"/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3"/>
      <c r="AU13" s="780"/>
      <c r="AV13" s="634"/>
      <c r="AW13" s="634"/>
      <c r="AX13" s="634"/>
      <c r="AY13" s="634"/>
      <c r="AZ13" s="634"/>
      <c r="BA13" s="634"/>
      <c r="BB13" s="634"/>
      <c r="BC13" s="634"/>
      <c r="BD13" s="634"/>
      <c r="BE13" s="634"/>
      <c r="BF13" s="634"/>
      <c r="BG13" s="634"/>
      <c r="BH13" s="634"/>
      <c r="BI13" s="634"/>
      <c r="BJ13" s="634"/>
      <c r="BK13" s="634"/>
      <c r="BL13" s="634"/>
      <c r="BM13" s="634"/>
      <c r="BN13" s="634"/>
      <c r="BO13" s="634"/>
      <c r="BP13" s="634"/>
      <c r="BQ13" s="634"/>
      <c r="BR13" s="634"/>
      <c r="BS13" s="634"/>
      <c r="BT13" s="634"/>
      <c r="BU13" s="634"/>
      <c r="BV13" s="634"/>
      <c r="BW13" s="634"/>
      <c r="BX13" s="634"/>
      <c r="BY13" s="634"/>
      <c r="BZ13" s="634"/>
      <c r="CA13" s="634"/>
      <c r="CB13" s="634"/>
      <c r="CC13" s="634"/>
      <c r="CD13" s="634"/>
      <c r="CE13" s="634"/>
      <c r="CF13" s="634"/>
      <c r="CG13" s="634"/>
      <c r="CH13" s="634"/>
      <c r="CI13" s="634"/>
      <c r="CJ13" s="634"/>
      <c r="CK13" s="634"/>
      <c r="CL13" s="634"/>
      <c r="CM13" s="634"/>
    </row>
    <row r="14" spans="1:91" ht="14.25">
      <c r="A14" s="254" t="s">
        <v>316</v>
      </c>
      <c r="B14" s="783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72"/>
      <c r="AN14" s="772"/>
      <c r="AO14" s="772"/>
      <c r="AP14" s="772"/>
      <c r="AQ14" s="772"/>
      <c r="AR14" s="772"/>
      <c r="AS14" s="772"/>
      <c r="AT14" s="773"/>
      <c r="AU14" s="780"/>
      <c r="AV14" s="634"/>
      <c r="AW14" s="634"/>
      <c r="AX14" s="634"/>
      <c r="AY14" s="634"/>
      <c r="AZ14" s="634"/>
      <c r="BA14" s="634"/>
      <c r="BB14" s="634"/>
      <c r="BC14" s="634"/>
      <c r="BD14" s="634"/>
      <c r="BE14" s="634"/>
      <c r="BF14" s="634"/>
      <c r="BG14" s="634"/>
      <c r="BH14" s="634"/>
      <c r="BI14" s="634"/>
      <c r="BJ14" s="634"/>
      <c r="BK14" s="634"/>
      <c r="BL14" s="634"/>
      <c r="BM14" s="634"/>
      <c r="BN14" s="634"/>
      <c r="BO14" s="634"/>
      <c r="BP14" s="634"/>
      <c r="BQ14" s="634"/>
      <c r="BR14" s="634"/>
      <c r="BS14" s="634"/>
      <c r="BT14" s="634"/>
      <c r="BU14" s="634"/>
      <c r="BV14" s="634"/>
      <c r="BW14" s="634"/>
      <c r="BX14" s="634"/>
      <c r="BY14" s="634"/>
      <c r="BZ14" s="634"/>
      <c r="CA14" s="634"/>
      <c r="CB14" s="634"/>
      <c r="CC14" s="634"/>
      <c r="CD14" s="634"/>
      <c r="CE14" s="634"/>
      <c r="CF14" s="634"/>
      <c r="CG14" s="634"/>
      <c r="CH14" s="634"/>
      <c r="CI14" s="634"/>
      <c r="CJ14" s="634"/>
      <c r="CK14" s="634"/>
      <c r="CL14" s="634"/>
      <c r="CM14" s="634"/>
    </row>
    <row r="15" spans="1:91" ht="14.25">
      <c r="A15" s="254" t="s">
        <v>317</v>
      </c>
      <c r="B15" s="783"/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  <c r="AA15" s="772"/>
      <c r="AB15" s="772"/>
      <c r="AC15" s="772"/>
      <c r="AD15" s="772"/>
      <c r="AE15" s="772"/>
      <c r="AF15" s="772"/>
      <c r="AG15" s="772"/>
      <c r="AH15" s="772"/>
      <c r="AI15" s="772"/>
      <c r="AJ15" s="772"/>
      <c r="AK15" s="772"/>
      <c r="AL15" s="772"/>
      <c r="AM15" s="772"/>
      <c r="AN15" s="772"/>
      <c r="AO15" s="772"/>
      <c r="AP15" s="772"/>
      <c r="AQ15" s="772"/>
      <c r="AR15" s="772"/>
      <c r="AS15" s="772"/>
      <c r="AT15" s="773"/>
      <c r="AU15" s="780"/>
      <c r="AV15" s="634"/>
      <c r="AW15" s="634"/>
      <c r="AX15" s="634"/>
      <c r="AY15" s="634"/>
      <c r="AZ15" s="634"/>
      <c r="BA15" s="634"/>
      <c r="BB15" s="634"/>
      <c r="BC15" s="634"/>
      <c r="BD15" s="634"/>
      <c r="BE15" s="634"/>
      <c r="BF15" s="634"/>
      <c r="BG15" s="634"/>
      <c r="BH15" s="634"/>
      <c r="BI15" s="634"/>
      <c r="BJ15" s="634"/>
      <c r="BK15" s="634"/>
      <c r="BL15" s="634"/>
      <c r="BM15" s="634"/>
      <c r="BN15" s="634"/>
      <c r="BO15" s="634"/>
      <c r="BP15" s="634"/>
      <c r="BQ15" s="634"/>
      <c r="BR15" s="634"/>
      <c r="BS15" s="634"/>
      <c r="BT15" s="634"/>
      <c r="BU15" s="634"/>
      <c r="BV15" s="634"/>
      <c r="BW15" s="634"/>
      <c r="BX15" s="634"/>
      <c r="BY15" s="634"/>
      <c r="BZ15" s="634"/>
      <c r="CA15" s="634"/>
      <c r="CB15" s="634"/>
      <c r="CC15" s="634"/>
      <c r="CD15" s="634"/>
      <c r="CE15" s="634"/>
      <c r="CF15" s="634"/>
      <c r="CG15" s="634"/>
      <c r="CH15" s="634"/>
      <c r="CI15" s="634"/>
      <c r="CJ15" s="634"/>
      <c r="CK15" s="634"/>
      <c r="CL15" s="634"/>
      <c r="CM15" s="634"/>
    </row>
    <row r="16" spans="1:91" ht="14.25">
      <c r="A16" s="254" t="s">
        <v>318</v>
      </c>
      <c r="B16" s="783"/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772"/>
      <c r="AC16" s="772"/>
      <c r="AD16" s="772"/>
      <c r="AE16" s="772"/>
      <c r="AF16" s="772"/>
      <c r="AG16" s="772"/>
      <c r="AH16" s="772"/>
      <c r="AI16" s="772"/>
      <c r="AJ16" s="772"/>
      <c r="AK16" s="772"/>
      <c r="AL16" s="772"/>
      <c r="AM16" s="772"/>
      <c r="AN16" s="772"/>
      <c r="AO16" s="772"/>
      <c r="AP16" s="772"/>
      <c r="AQ16" s="772"/>
      <c r="AR16" s="772"/>
      <c r="AS16" s="772"/>
      <c r="AT16" s="773"/>
      <c r="AU16" s="780"/>
      <c r="AV16" s="634"/>
      <c r="AW16" s="634"/>
      <c r="AX16" s="634"/>
      <c r="AY16" s="634"/>
      <c r="AZ16" s="634"/>
      <c r="BA16" s="634"/>
      <c r="BB16" s="634"/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634"/>
      <c r="BS16" s="634"/>
      <c r="BT16" s="634"/>
      <c r="BU16" s="634"/>
      <c r="BV16" s="634"/>
      <c r="BW16" s="634"/>
      <c r="BX16" s="634"/>
      <c r="BY16" s="634"/>
      <c r="BZ16" s="634"/>
      <c r="CA16" s="634"/>
      <c r="CB16" s="634"/>
      <c r="CC16" s="634"/>
      <c r="CD16" s="634"/>
      <c r="CE16" s="634"/>
      <c r="CF16" s="634"/>
      <c r="CG16" s="634"/>
      <c r="CH16" s="634"/>
      <c r="CI16" s="634"/>
      <c r="CJ16" s="634"/>
      <c r="CK16" s="634"/>
      <c r="CL16" s="634"/>
      <c r="CM16" s="634"/>
    </row>
    <row r="17" spans="1:91" ht="14.25">
      <c r="A17" s="254" t="s">
        <v>319</v>
      </c>
      <c r="B17" s="783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772"/>
      <c r="AN17" s="772"/>
      <c r="AO17" s="772"/>
      <c r="AP17" s="772"/>
      <c r="AQ17" s="772"/>
      <c r="AR17" s="772"/>
      <c r="AS17" s="772"/>
      <c r="AT17" s="773"/>
      <c r="AU17" s="780"/>
      <c r="AV17" s="634"/>
      <c r="AW17" s="634"/>
      <c r="AX17" s="634"/>
      <c r="AY17" s="634"/>
      <c r="AZ17" s="634"/>
      <c r="BA17" s="634"/>
      <c r="BB17" s="634"/>
      <c r="BC17" s="634"/>
      <c r="BD17" s="634"/>
      <c r="BE17" s="634"/>
      <c r="BF17" s="634"/>
      <c r="BG17" s="634"/>
      <c r="BH17" s="634"/>
      <c r="BI17" s="634"/>
      <c r="BJ17" s="634"/>
      <c r="BK17" s="634"/>
      <c r="BL17" s="634"/>
      <c r="BM17" s="634"/>
      <c r="BN17" s="634"/>
      <c r="BO17" s="634"/>
      <c r="BP17" s="634"/>
      <c r="BQ17" s="634"/>
      <c r="BR17" s="634"/>
      <c r="BS17" s="634"/>
      <c r="BT17" s="634"/>
      <c r="BU17" s="634"/>
      <c r="BV17" s="634"/>
      <c r="BW17" s="634"/>
      <c r="BX17" s="634"/>
      <c r="BY17" s="634"/>
      <c r="BZ17" s="634"/>
      <c r="CA17" s="634"/>
      <c r="CB17" s="634"/>
      <c r="CC17" s="634"/>
      <c r="CD17" s="634"/>
      <c r="CE17" s="634"/>
      <c r="CF17" s="634"/>
      <c r="CG17" s="634"/>
      <c r="CH17" s="634"/>
      <c r="CI17" s="634"/>
      <c r="CJ17" s="634"/>
      <c r="CK17" s="634"/>
      <c r="CL17" s="634"/>
      <c r="CM17" s="634"/>
    </row>
    <row r="18" spans="1:91" ht="14.25">
      <c r="A18" s="116" t="s">
        <v>320</v>
      </c>
      <c r="B18" s="783"/>
      <c r="C18" s="772"/>
      <c r="D18" s="772"/>
      <c r="E18" s="772"/>
      <c r="F18" s="772"/>
      <c r="G18" s="772"/>
      <c r="H18" s="772"/>
      <c r="I18" s="772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  <c r="W18" s="772"/>
      <c r="X18" s="772"/>
      <c r="Y18" s="772"/>
      <c r="Z18" s="772"/>
      <c r="AA18" s="772"/>
      <c r="AB18" s="772"/>
      <c r="AC18" s="772"/>
      <c r="AD18" s="772"/>
      <c r="AE18" s="772"/>
      <c r="AF18" s="772"/>
      <c r="AG18" s="772"/>
      <c r="AH18" s="772"/>
      <c r="AI18" s="772"/>
      <c r="AJ18" s="772"/>
      <c r="AK18" s="772"/>
      <c r="AL18" s="772"/>
      <c r="AM18" s="772"/>
      <c r="AN18" s="772"/>
      <c r="AO18" s="772"/>
      <c r="AP18" s="772"/>
      <c r="AQ18" s="772"/>
      <c r="AR18" s="772"/>
      <c r="AS18" s="772"/>
      <c r="AT18" s="773"/>
      <c r="AU18" s="780"/>
      <c r="AV18" s="634"/>
      <c r="AW18" s="634"/>
      <c r="AX18" s="634"/>
      <c r="AY18" s="634"/>
      <c r="AZ18" s="634"/>
      <c r="BA18" s="634"/>
      <c r="BB18" s="634"/>
      <c r="BC18" s="634"/>
      <c r="BD18" s="634"/>
      <c r="BE18" s="634"/>
      <c r="BF18" s="634"/>
      <c r="BG18" s="634"/>
      <c r="BH18" s="634"/>
      <c r="BI18" s="634"/>
      <c r="BJ18" s="634"/>
      <c r="BK18" s="634"/>
      <c r="BL18" s="634"/>
      <c r="BM18" s="634"/>
      <c r="BN18" s="634"/>
      <c r="BO18" s="634"/>
      <c r="BP18" s="634"/>
      <c r="BQ18" s="634"/>
      <c r="BR18" s="634"/>
      <c r="BS18" s="634"/>
      <c r="BT18" s="634"/>
      <c r="BU18" s="634"/>
      <c r="BV18" s="634"/>
      <c r="BW18" s="634"/>
      <c r="BX18" s="634"/>
      <c r="BY18" s="634"/>
      <c r="BZ18" s="634"/>
      <c r="CA18" s="634"/>
      <c r="CB18" s="634"/>
      <c r="CC18" s="634"/>
      <c r="CD18" s="634"/>
      <c r="CE18" s="634"/>
      <c r="CF18" s="634"/>
      <c r="CG18" s="634"/>
      <c r="CH18" s="634"/>
      <c r="CI18" s="634"/>
      <c r="CJ18" s="634"/>
      <c r="CK18" s="634"/>
      <c r="CL18" s="634"/>
      <c r="CM18" s="634"/>
    </row>
    <row r="19" spans="1:91" ht="14.25">
      <c r="A19" s="270" t="s">
        <v>321</v>
      </c>
      <c r="B19" s="798"/>
      <c r="C19" s="776"/>
      <c r="D19" s="776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776"/>
      <c r="AM19" s="776"/>
      <c r="AN19" s="776"/>
      <c r="AO19" s="776"/>
      <c r="AP19" s="776"/>
      <c r="AQ19" s="776"/>
      <c r="AR19" s="776"/>
      <c r="AS19" s="776"/>
      <c r="AT19" s="777"/>
      <c r="AU19" s="781"/>
      <c r="AV19" s="782"/>
      <c r="AW19" s="782"/>
      <c r="AX19" s="782"/>
      <c r="AY19" s="782"/>
      <c r="AZ19" s="782"/>
      <c r="BA19" s="782"/>
      <c r="BB19" s="782"/>
      <c r="BC19" s="782"/>
      <c r="BD19" s="782"/>
      <c r="BE19" s="782"/>
      <c r="BF19" s="782"/>
      <c r="BG19" s="782"/>
      <c r="BH19" s="782"/>
      <c r="BI19" s="782"/>
      <c r="BJ19" s="782"/>
      <c r="BK19" s="782"/>
      <c r="BL19" s="782"/>
      <c r="BM19" s="782"/>
      <c r="BN19" s="782"/>
      <c r="BO19" s="782"/>
      <c r="BP19" s="782"/>
      <c r="BQ19" s="782"/>
      <c r="BR19" s="782"/>
      <c r="BS19" s="782"/>
      <c r="BT19" s="782"/>
      <c r="BU19" s="782"/>
      <c r="BV19" s="782"/>
      <c r="BW19" s="782"/>
      <c r="BX19" s="782"/>
      <c r="BY19" s="782"/>
      <c r="BZ19" s="782"/>
      <c r="CA19" s="782"/>
      <c r="CB19" s="782"/>
      <c r="CC19" s="782"/>
      <c r="CD19" s="782"/>
      <c r="CE19" s="782"/>
      <c r="CF19" s="782"/>
      <c r="CG19" s="782"/>
      <c r="CH19" s="782"/>
      <c r="CI19" s="782"/>
      <c r="CJ19" s="782"/>
      <c r="CK19" s="782"/>
      <c r="CL19" s="782"/>
      <c r="CM19" s="782"/>
    </row>
    <row r="20" spans="1:91" ht="14.25">
      <c r="A20" s="271" t="s">
        <v>162</v>
      </c>
      <c r="B20" s="774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775"/>
      <c r="AL20" s="775"/>
      <c r="AM20" s="775"/>
      <c r="AN20" s="775"/>
      <c r="AO20" s="775"/>
      <c r="AP20" s="775"/>
      <c r="AQ20" s="775"/>
      <c r="AR20" s="775"/>
      <c r="AS20" s="775"/>
      <c r="AT20" s="775"/>
      <c r="AU20" s="775"/>
      <c r="AV20" s="775"/>
      <c r="AW20" s="775"/>
      <c r="AX20" s="775"/>
      <c r="AY20" s="775"/>
      <c r="AZ20" s="775"/>
      <c r="BA20" s="775"/>
      <c r="BB20" s="775"/>
      <c r="BC20" s="775"/>
      <c r="BD20" s="775"/>
      <c r="BE20" s="775"/>
      <c r="BF20" s="775"/>
      <c r="BG20" s="775"/>
      <c r="BH20" s="775"/>
      <c r="BI20" s="775"/>
      <c r="BJ20" s="775"/>
      <c r="BK20" s="775"/>
      <c r="BL20" s="775"/>
      <c r="BM20" s="775"/>
      <c r="BN20" s="775"/>
      <c r="BO20" s="775"/>
      <c r="BP20" s="775"/>
      <c r="BQ20" s="775"/>
      <c r="BR20" s="775"/>
      <c r="BS20" s="775"/>
      <c r="BT20" s="775"/>
      <c r="BU20" s="775"/>
      <c r="BV20" s="775"/>
      <c r="BW20" s="775"/>
      <c r="BX20" s="775"/>
      <c r="BY20" s="775"/>
      <c r="BZ20" s="775"/>
      <c r="CA20" s="775"/>
      <c r="CB20" s="775"/>
      <c r="CC20" s="775"/>
      <c r="CD20" s="775"/>
      <c r="CE20" s="768">
        <f>IF(COUNTIF($B$8:$CM$19,"&gt;0")=0,0,IF(LARGE($B$8:$CM$19,1)&gt;8,"NAPAKA",SUM(B8:CM19)))</f>
        <v>0</v>
      </c>
      <c r="CF20" s="769"/>
      <c r="CG20" s="769"/>
      <c r="CH20" s="769"/>
      <c r="CI20" s="769"/>
      <c r="CJ20" s="769"/>
      <c r="CK20" s="769"/>
      <c r="CL20" s="769"/>
      <c r="CM20" s="770"/>
    </row>
    <row r="21" spans="1:101" ht="14.25">
      <c r="A21" s="281">
        <f>IF($CW$21&gt;8,"NAPAKA - največje dovoljeno število ur na dan je 8. POPRAVITE !","")</f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O21" s="275"/>
      <c r="CP21" s="275"/>
      <c r="CQ21" s="275"/>
      <c r="CR21" s="275"/>
      <c r="CS21" s="275"/>
      <c r="CT21" s="275"/>
      <c r="CU21" s="275"/>
      <c r="CV21" s="276"/>
      <c r="CW21" s="282">
        <f>IF($CE$20=0,0,LARGE($B$8:$CM$19,1))</f>
        <v>0</v>
      </c>
    </row>
    <row r="22" spans="1:101" ht="14.25">
      <c r="A22" s="764" t="s">
        <v>296</v>
      </c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4"/>
      <c r="AO22" s="764"/>
      <c r="AP22" s="764"/>
      <c r="AQ22" s="764"/>
      <c r="AR22" s="764"/>
      <c r="AS22" s="764"/>
      <c r="AT22" s="764"/>
      <c r="AU22" s="764"/>
      <c r="AV22" s="764"/>
      <c r="AW22" s="764"/>
      <c r="AX22" s="764"/>
      <c r="AY22" s="764"/>
      <c r="AZ22" s="764"/>
      <c r="BA22" s="764"/>
      <c r="BB22" s="764"/>
      <c r="BC22" s="764"/>
      <c r="BD22" s="764"/>
      <c r="BE22" s="764"/>
      <c r="BF22" s="764"/>
      <c r="BG22" s="764"/>
      <c r="BH22" s="764"/>
      <c r="BI22" s="764"/>
      <c r="BJ22" s="764"/>
      <c r="BK22" s="764"/>
      <c r="BL22" s="764"/>
      <c r="BM22" s="764"/>
      <c r="BN22" s="764"/>
      <c r="BO22" s="764"/>
      <c r="BP22" s="764"/>
      <c r="BQ22" s="764"/>
      <c r="BR22" s="764"/>
      <c r="BS22" s="764"/>
      <c r="BT22" s="764"/>
      <c r="BU22" s="764"/>
      <c r="BV22" s="764"/>
      <c r="BW22" s="764"/>
      <c r="BX22" s="764"/>
      <c r="BY22" s="764"/>
      <c r="BZ22" s="764"/>
      <c r="CA22" s="764"/>
      <c r="CB22" s="764"/>
      <c r="CC22" s="764"/>
      <c r="CD22" s="764"/>
      <c r="CE22" s="764"/>
      <c r="CF22" s="764"/>
      <c r="CG22" s="764"/>
      <c r="CH22" s="764"/>
      <c r="CI22" s="764"/>
      <c r="CJ22" s="764"/>
      <c r="CK22" s="764"/>
      <c r="CL22" s="764"/>
      <c r="CM22" s="764"/>
      <c r="CO22" s="255"/>
      <c r="CP22" s="255"/>
      <c r="CQ22" s="255"/>
      <c r="CR22" s="275"/>
      <c r="CS22" s="275"/>
      <c r="CT22" s="275"/>
      <c r="CU22" s="275"/>
      <c r="CV22" s="276"/>
      <c r="CW22" s="276"/>
    </row>
    <row r="23" spans="1:91" ht="14.25">
      <c r="A23" s="273"/>
      <c r="B23" s="784" t="s">
        <v>175</v>
      </c>
      <c r="C23" s="771"/>
      <c r="D23" s="771"/>
      <c r="E23" s="771"/>
      <c r="F23" s="771"/>
      <c r="G23" s="771"/>
      <c r="H23" s="771"/>
      <c r="I23" s="771"/>
      <c r="J23" s="771"/>
      <c r="K23" s="771" t="s">
        <v>176</v>
      </c>
      <c r="L23" s="771"/>
      <c r="M23" s="771"/>
      <c r="N23" s="771"/>
      <c r="O23" s="771"/>
      <c r="P23" s="771"/>
      <c r="Q23" s="771"/>
      <c r="R23" s="771"/>
      <c r="S23" s="771"/>
      <c r="T23" s="771" t="s">
        <v>177</v>
      </c>
      <c r="U23" s="771"/>
      <c r="V23" s="771"/>
      <c r="W23" s="771"/>
      <c r="X23" s="771"/>
      <c r="Y23" s="771"/>
      <c r="Z23" s="771"/>
      <c r="AA23" s="771"/>
      <c r="AB23" s="771"/>
      <c r="AC23" s="771" t="s">
        <v>178</v>
      </c>
      <c r="AD23" s="771"/>
      <c r="AE23" s="771"/>
      <c r="AF23" s="771"/>
      <c r="AG23" s="771"/>
      <c r="AH23" s="771"/>
      <c r="AI23" s="771"/>
      <c r="AJ23" s="771"/>
      <c r="AK23" s="771"/>
      <c r="AL23" s="771" t="s">
        <v>179</v>
      </c>
      <c r="AM23" s="771"/>
      <c r="AN23" s="771"/>
      <c r="AO23" s="771"/>
      <c r="AP23" s="771"/>
      <c r="AQ23" s="771"/>
      <c r="AR23" s="771"/>
      <c r="AS23" s="771"/>
      <c r="AT23" s="771"/>
      <c r="AU23" s="771" t="s">
        <v>175</v>
      </c>
      <c r="AV23" s="771"/>
      <c r="AW23" s="771"/>
      <c r="AX23" s="771"/>
      <c r="AY23" s="771"/>
      <c r="AZ23" s="771"/>
      <c r="BA23" s="771"/>
      <c r="BB23" s="771"/>
      <c r="BC23" s="771"/>
      <c r="BD23" s="771" t="s">
        <v>176</v>
      </c>
      <c r="BE23" s="771"/>
      <c r="BF23" s="771"/>
      <c r="BG23" s="771"/>
      <c r="BH23" s="771"/>
      <c r="BI23" s="771"/>
      <c r="BJ23" s="771"/>
      <c r="BK23" s="771"/>
      <c r="BL23" s="771"/>
      <c r="BM23" s="771" t="s">
        <v>177</v>
      </c>
      <c r="BN23" s="771"/>
      <c r="BO23" s="771"/>
      <c r="BP23" s="771"/>
      <c r="BQ23" s="771"/>
      <c r="BR23" s="771"/>
      <c r="BS23" s="771"/>
      <c r="BT23" s="771"/>
      <c r="BU23" s="771"/>
      <c r="BV23" s="771" t="s">
        <v>178</v>
      </c>
      <c r="BW23" s="771"/>
      <c r="BX23" s="771"/>
      <c r="BY23" s="771"/>
      <c r="BZ23" s="771"/>
      <c r="CA23" s="771"/>
      <c r="CB23" s="771"/>
      <c r="CC23" s="771"/>
      <c r="CD23" s="771"/>
      <c r="CE23" s="771" t="s">
        <v>179</v>
      </c>
      <c r="CF23" s="771"/>
      <c r="CG23" s="771"/>
      <c r="CH23" s="771"/>
      <c r="CI23" s="771"/>
      <c r="CJ23" s="771"/>
      <c r="CK23" s="771"/>
      <c r="CL23" s="771"/>
      <c r="CM23" s="797"/>
    </row>
    <row r="24" spans="1:91" ht="14.25">
      <c r="A24" s="252" t="s">
        <v>310</v>
      </c>
      <c r="B24" s="335"/>
      <c r="C24" s="328" t="s">
        <v>349</v>
      </c>
      <c r="D24" s="338"/>
      <c r="E24" s="328" t="s">
        <v>349</v>
      </c>
      <c r="F24" s="338"/>
      <c r="G24" s="328" t="s">
        <v>349</v>
      </c>
      <c r="H24" s="338"/>
      <c r="I24" s="328" t="s">
        <v>349</v>
      </c>
      <c r="J24" s="341"/>
      <c r="K24" s="342"/>
      <c r="L24" s="331" t="s">
        <v>349</v>
      </c>
      <c r="M24" s="347"/>
      <c r="N24" s="331" t="s">
        <v>349</v>
      </c>
      <c r="O24" s="347"/>
      <c r="P24" s="331" t="s">
        <v>349</v>
      </c>
      <c r="Q24" s="347"/>
      <c r="R24" s="331" t="s">
        <v>349</v>
      </c>
      <c r="S24" s="348"/>
      <c r="T24" s="342"/>
      <c r="U24" s="331" t="s">
        <v>349</v>
      </c>
      <c r="V24" s="347"/>
      <c r="W24" s="331" t="s">
        <v>349</v>
      </c>
      <c r="X24" s="347"/>
      <c r="Y24" s="331" t="s">
        <v>349</v>
      </c>
      <c r="Z24" s="347"/>
      <c r="AA24" s="331" t="s">
        <v>349</v>
      </c>
      <c r="AB24" s="348"/>
      <c r="AC24" s="342"/>
      <c r="AD24" s="331" t="s">
        <v>349</v>
      </c>
      <c r="AE24" s="347"/>
      <c r="AF24" s="331" t="s">
        <v>349</v>
      </c>
      <c r="AG24" s="347"/>
      <c r="AH24" s="331" t="s">
        <v>349</v>
      </c>
      <c r="AI24" s="347"/>
      <c r="AJ24" s="331" t="s">
        <v>349</v>
      </c>
      <c r="AK24" s="348"/>
      <c r="AL24" s="342"/>
      <c r="AM24" s="331" t="s">
        <v>349</v>
      </c>
      <c r="AN24" s="347"/>
      <c r="AO24" s="331" t="s">
        <v>349</v>
      </c>
      <c r="AP24" s="347"/>
      <c r="AQ24" s="331" t="s">
        <v>349</v>
      </c>
      <c r="AR24" s="347"/>
      <c r="AS24" s="331" t="s">
        <v>349</v>
      </c>
      <c r="AT24" s="348"/>
      <c r="AU24" s="342"/>
      <c r="AV24" s="331" t="s">
        <v>349</v>
      </c>
      <c r="AW24" s="347"/>
      <c r="AX24" s="331" t="s">
        <v>349</v>
      </c>
      <c r="AY24" s="347"/>
      <c r="AZ24" s="331" t="s">
        <v>349</v>
      </c>
      <c r="BA24" s="347"/>
      <c r="BB24" s="331" t="s">
        <v>349</v>
      </c>
      <c r="BC24" s="348"/>
      <c r="BD24" s="342"/>
      <c r="BE24" s="331" t="s">
        <v>349</v>
      </c>
      <c r="BF24" s="347"/>
      <c r="BG24" s="331" t="s">
        <v>349</v>
      </c>
      <c r="BH24" s="347"/>
      <c r="BI24" s="331" t="s">
        <v>349</v>
      </c>
      <c r="BJ24" s="347"/>
      <c r="BK24" s="331" t="s">
        <v>349</v>
      </c>
      <c r="BL24" s="348"/>
      <c r="BM24" s="342"/>
      <c r="BN24" s="331" t="s">
        <v>349</v>
      </c>
      <c r="BO24" s="347"/>
      <c r="BP24" s="331" t="s">
        <v>349</v>
      </c>
      <c r="BQ24" s="347"/>
      <c r="BR24" s="331" t="s">
        <v>349</v>
      </c>
      <c r="BS24" s="347"/>
      <c r="BT24" s="331" t="s">
        <v>349</v>
      </c>
      <c r="BU24" s="348"/>
      <c r="BV24" s="342"/>
      <c r="BW24" s="331" t="s">
        <v>349</v>
      </c>
      <c r="BX24" s="347"/>
      <c r="BY24" s="331" t="s">
        <v>349</v>
      </c>
      <c r="BZ24" s="347"/>
      <c r="CA24" s="331" t="s">
        <v>349</v>
      </c>
      <c r="CB24" s="347"/>
      <c r="CC24" s="331" t="s">
        <v>349</v>
      </c>
      <c r="CD24" s="348"/>
      <c r="CE24" s="342"/>
      <c r="CF24" s="331" t="s">
        <v>349</v>
      </c>
      <c r="CG24" s="347"/>
      <c r="CH24" s="331" t="s">
        <v>349</v>
      </c>
      <c r="CI24" s="347"/>
      <c r="CJ24" s="331" t="s">
        <v>349</v>
      </c>
      <c r="CK24" s="347"/>
      <c r="CL24" s="331" t="s">
        <v>349</v>
      </c>
      <c r="CM24" s="349"/>
    </row>
    <row r="25" spans="1:91" ht="14.25">
      <c r="A25" s="253" t="s">
        <v>311</v>
      </c>
      <c r="B25" s="336"/>
      <c r="C25" s="329" t="s">
        <v>349</v>
      </c>
      <c r="D25" s="339"/>
      <c r="E25" s="329" t="s">
        <v>349</v>
      </c>
      <c r="F25" s="339"/>
      <c r="G25" s="329" t="s">
        <v>349</v>
      </c>
      <c r="H25" s="339"/>
      <c r="I25" s="329" t="s">
        <v>349</v>
      </c>
      <c r="J25" s="343"/>
      <c r="K25" s="344"/>
      <c r="L25" s="329" t="s">
        <v>349</v>
      </c>
      <c r="M25" s="339"/>
      <c r="N25" s="329" t="s">
        <v>349</v>
      </c>
      <c r="O25" s="339"/>
      <c r="P25" s="329" t="s">
        <v>349</v>
      </c>
      <c r="Q25" s="339"/>
      <c r="R25" s="329" t="s">
        <v>349</v>
      </c>
      <c r="S25" s="343"/>
      <c r="T25" s="344"/>
      <c r="U25" s="329" t="s">
        <v>349</v>
      </c>
      <c r="V25" s="339"/>
      <c r="W25" s="329" t="s">
        <v>349</v>
      </c>
      <c r="X25" s="339"/>
      <c r="Y25" s="329" t="s">
        <v>349</v>
      </c>
      <c r="Z25" s="339"/>
      <c r="AA25" s="329" t="s">
        <v>349</v>
      </c>
      <c r="AB25" s="343"/>
      <c r="AC25" s="344"/>
      <c r="AD25" s="329" t="s">
        <v>349</v>
      </c>
      <c r="AE25" s="339"/>
      <c r="AF25" s="329" t="s">
        <v>349</v>
      </c>
      <c r="AG25" s="339"/>
      <c r="AH25" s="329" t="s">
        <v>349</v>
      </c>
      <c r="AI25" s="339"/>
      <c r="AJ25" s="329" t="s">
        <v>349</v>
      </c>
      <c r="AK25" s="343"/>
      <c r="AL25" s="344"/>
      <c r="AM25" s="329" t="s">
        <v>349</v>
      </c>
      <c r="AN25" s="339"/>
      <c r="AO25" s="329" t="s">
        <v>349</v>
      </c>
      <c r="AP25" s="339"/>
      <c r="AQ25" s="329" t="s">
        <v>349</v>
      </c>
      <c r="AR25" s="339"/>
      <c r="AS25" s="329" t="s">
        <v>349</v>
      </c>
      <c r="AT25" s="343"/>
      <c r="AU25" s="344"/>
      <c r="AV25" s="329" t="s">
        <v>349</v>
      </c>
      <c r="AW25" s="339"/>
      <c r="AX25" s="329" t="s">
        <v>349</v>
      </c>
      <c r="AY25" s="339"/>
      <c r="AZ25" s="329" t="s">
        <v>349</v>
      </c>
      <c r="BA25" s="339"/>
      <c r="BB25" s="329" t="s">
        <v>349</v>
      </c>
      <c r="BC25" s="343"/>
      <c r="BD25" s="344"/>
      <c r="BE25" s="329" t="s">
        <v>349</v>
      </c>
      <c r="BF25" s="339"/>
      <c r="BG25" s="329" t="s">
        <v>349</v>
      </c>
      <c r="BH25" s="339"/>
      <c r="BI25" s="329" t="s">
        <v>349</v>
      </c>
      <c r="BJ25" s="339"/>
      <c r="BK25" s="329" t="s">
        <v>349</v>
      </c>
      <c r="BL25" s="343"/>
      <c r="BM25" s="344"/>
      <c r="BN25" s="329" t="s">
        <v>349</v>
      </c>
      <c r="BO25" s="339"/>
      <c r="BP25" s="329" t="s">
        <v>349</v>
      </c>
      <c r="BQ25" s="339"/>
      <c r="BR25" s="329" t="s">
        <v>349</v>
      </c>
      <c r="BS25" s="339"/>
      <c r="BT25" s="329" t="s">
        <v>349</v>
      </c>
      <c r="BU25" s="343"/>
      <c r="BV25" s="344"/>
      <c r="BW25" s="329" t="s">
        <v>349</v>
      </c>
      <c r="BX25" s="339"/>
      <c r="BY25" s="329" t="s">
        <v>349</v>
      </c>
      <c r="BZ25" s="339"/>
      <c r="CA25" s="329" t="s">
        <v>349</v>
      </c>
      <c r="CB25" s="339"/>
      <c r="CC25" s="329" t="s">
        <v>349</v>
      </c>
      <c r="CD25" s="343"/>
      <c r="CE25" s="344"/>
      <c r="CF25" s="329" t="s">
        <v>349</v>
      </c>
      <c r="CG25" s="339"/>
      <c r="CH25" s="329" t="s">
        <v>349</v>
      </c>
      <c r="CI25" s="339"/>
      <c r="CJ25" s="329" t="s">
        <v>349</v>
      </c>
      <c r="CK25" s="339"/>
      <c r="CL25" s="329" t="s">
        <v>349</v>
      </c>
      <c r="CM25" s="350"/>
    </row>
    <row r="26" spans="1:91" ht="14.25">
      <c r="A26" s="253" t="s">
        <v>312</v>
      </c>
      <c r="B26" s="336"/>
      <c r="C26" s="329" t="s">
        <v>349</v>
      </c>
      <c r="D26" s="339"/>
      <c r="E26" s="329" t="s">
        <v>349</v>
      </c>
      <c r="F26" s="339"/>
      <c r="G26" s="329" t="s">
        <v>349</v>
      </c>
      <c r="H26" s="339"/>
      <c r="I26" s="329" t="s">
        <v>349</v>
      </c>
      <c r="J26" s="343"/>
      <c r="K26" s="344"/>
      <c r="L26" s="329" t="s">
        <v>349</v>
      </c>
      <c r="M26" s="339"/>
      <c r="N26" s="329" t="s">
        <v>349</v>
      </c>
      <c r="O26" s="339"/>
      <c r="P26" s="329" t="s">
        <v>349</v>
      </c>
      <c r="Q26" s="339"/>
      <c r="R26" s="329" t="s">
        <v>349</v>
      </c>
      <c r="S26" s="343"/>
      <c r="T26" s="344"/>
      <c r="U26" s="329" t="s">
        <v>349</v>
      </c>
      <c r="V26" s="339"/>
      <c r="W26" s="329" t="s">
        <v>349</v>
      </c>
      <c r="X26" s="339"/>
      <c r="Y26" s="329" t="s">
        <v>349</v>
      </c>
      <c r="Z26" s="339"/>
      <c r="AA26" s="329" t="s">
        <v>349</v>
      </c>
      <c r="AB26" s="343"/>
      <c r="AC26" s="344"/>
      <c r="AD26" s="329" t="s">
        <v>349</v>
      </c>
      <c r="AE26" s="339"/>
      <c r="AF26" s="329" t="s">
        <v>349</v>
      </c>
      <c r="AG26" s="339"/>
      <c r="AH26" s="329" t="s">
        <v>349</v>
      </c>
      <c r="AI26" s="339"/>
      <c r="AJ26" s="329" t="s">
        <v>349</v>
      </c>
      <c r="AK26" s="343"/>
      <c r="AL26" s="344"/>
      <c r="AM26" s="329" t="s">
        <v>349</v>
      </c>
      <c r="AN26" s="339"/>
      <c r="AO26" s="329" t="s">
        <v>349</v>
      </c>
      <c r="AP26" s="339"/>
      <c r="AQ26" s="329" t="s">
        <v>349</v>
      </c>
      <c r="AR26" s="339"/>
      <c r="AS26" s="329" t="s">
        <v>349</v>
      </c>
      <c r="AT26" s="343"/>
      <c r="AU26" s="344"/>
      <c r="AV26" s="329" t="s">
        <v>349</v>
      </c>
      <c r="AW26" s="339"/>
      <c r="AX26" s="329" t="s">
        <v>349</v>
      </c>
      <c r="AY26" s="339"/>
      <c r="AZ26" s="329" t="s">
        <v>349</v>
      </c>
      <c r="BA26" s="339"/>
      <c r="BB26" s="329" t="s">
        <v>349</v>
      </c>
      <c r="BC26" s="343"/>
      <c r="BD26" s="344"/>
      <c r="BE26" s="329" t="s">
        <v>349</v>
      </c>
      <c r="BF26" s="339"/>
      <c r="BG26" s="329" t="s">
        <v>349</v>
      </c>
      <c r="BH26" s="339"/>
      <c r="BI26" s="329" t="s">
        <v>349</v>
      </c>
      <c r="BJ26" s="339"/>
      <c r="BK26" s="329" t="s">
        <v>349</v>
      </c>
      <c r="BL26" s="343"/>
      <c r="BM26" s="344"/>
      <c r="BN26" s="329" t="s">
        <v>349</v>
      </c>
      <c r="BO26" s="339"/>
      <c r="BP26" s="329" t="s">
        <v>349</v>
      </c>
      <c r="BQ26" s="339"/>
      <c r="BR26" s="329" t="s">
        <v>349</v>
      </c>
      <c r="BS26" s="339"/>
      <c r="BT26" s="329" t="s">
        <v>349</v>
      </c>
      <c r="BU26" s="343"/>
      <c r="BV26" s="344"/>
      <c r="BW26" s="329" t="s">
        <v>349</v>
      </c>
      <c r="BX26" s="339"/>
      <c r="BY26" s="329" t="s">
        <v>349</v>
      </c>
      <c r="BZ26" s="339"/>
      <c r="CA26" s="329" t="s">
        <v>349</v>
      </c>
      <c r="CB26" s="339"/>
      <c r="CC26" s="329" t="s">
        <v>349</v>
      </c>
      <c r="CD26" s="343"/>
      <c r="CE26" s="344"/>
      <c r="CF26" s="329" t="s">
        <v>349</v>
      </c>
      <c r="CG26" s="339"/>
      <c r="CH26" s="329" t="s">
        <v>349</v>
      </c>
      <c r="CI26" s="339"/>
      <c r="CJ26" s="329" t="s">
        <v>349</v>
      </c>
      <c r="CK26" s="339"/>
      <c r="CL26" s="329" t="s">
        <v>349</v>
      </c>
      <c r="CM26" s="350"/>
    </row>
    <row r="27" spans="1:91" ht="14.25">
      <c r="A27" s="253" t="s">
        <v>313</v>
      </c>
      <c r="B27" s="336"/>
      <c r="C27" s="329" t="s">
        <v>349</v>
      </c>
      <c r="D27" s="339"/>
      <c r="E27" s="329" t="s">
        <v>349</v>
      </c>
      <c r="F27" s="339"/>
      <c r="G27" s="329" t="s">
        <v>349</v>
      </c>
      <c r="H27" s="339"/>
      <c r="I27" s="329" t="s">
        <v>349</v>
      </c>
      <c r="J27" s="343"/>
      <c r="K27" s="344"/>
      <c r="L27" s="329" t="s">
        <v>349</v>
      </c>
      <c r="M27" s="339"/>
      <c r="N27" s="329" t="s">
        <v>349</v>
      </c>
      <c r="O27" s="339"/>
      <c r="P27" s="329" t="s">
        <v>349</v>
      </c>
      <c r="Q27" s="339"/>
      <c r="R27" s="329" t="s">
        <v>349</v>
      </c>
      <c r="S27" s="343"/>
      <c r="T27" s="344"/>
      <c r="U27" s="329" t="s">
        <v>349</v>
      </c>
      <c r="V27" s="339"/>
      <c r="W27" s="329" t="s">
        <v>349</v>
      </c>
      <c r="X27" s="339"/>
      <c r="Y27" s="329" t="s">
        <v>349</v>
      </c>
      <c r="Z27" s="339"/>
      <c r="AA27" s="329" t="s">
        <v>349</v>
      </c>
      <c r="AB27" s="343"/>
      <c r="AC27" s="344"/>
      <c r="AD27" s="329" t="s">
        <v>349</v>
      </c>
      <c r="AE27" s="339"/>
      <c r="AF27" s="329" t="s">
        <v>349</v>
      </c>
      <c r="AG27" s="339"/>
      <c r="AH27" s="329" t="s">
        <v>349</v>
      </c>
      <c r="AI27" s="339"/>
      <c r="AJ27" s="329" t="s">
        <v>349</v>
      </c>
      <c r="AK27" s="343"/>
      <c r="AL27" s="344"/>
      <c r="AM27" s="329" t="s">
        <v>349</v>
      </c>
      <c r="AN27" s="339"/>
      <c r="AO27" s="329" t="s">
        <v>349</v>
      </c>
      <c r="AP27" s="339"/>
      <c r="AQ27" s="329" t="s">
        <v>349</v>
      </c>
      <c r="AR27" s="339"/>
      <c r="AS27" s="329" t="s">
        <v>349</v>
      </c>
      <c r="AT27" s="343"/>
      <c r="AU27" s="346"/>
      <c r="AV27" s="330" t="s">
        <v>349</v>
      </c>
      <c r="AW27" s="340"/>
      <c r="AX27" s="330" t="s">
        <v>349</v>
      </c>
      <c r="AY27" s="340"/>
      <c r="AZ27" s="330" t="s">
        <v>349</v>
      </c>
      <c r="BA27" s="340"/>
      <c r="BB27" s="330" t="s">
        <v>349</v>
      </c>
      <c r="BC27" s="345"/>
      <c r="BD27" s="346"/>
      <c r="BE27" s="330" t="s">
        <v>349</v>
      </c>
      <c r="BF27" s="340"/>
      <c r="BG27" s="330" t="s">
        <v>349</v>
      </c>
      <c r="BH27" s="340"/>
      <c r="BI27" s="330" t="s">
        <v>349</v>
      </c>
      <c r="BJ27" s="340"/>
      <c r="BK27" s="330" t="s">
        <v>349</v>
      </c>
      <c r="BL27" s="345"/>
      <c r="BM27" s="346"/>
      <c r="BN27" s="330" t="s">
        <v>349</v>
      </c>
      <c r="BO27" s="340"/>
      <c r="BP27" s="330" t="s">
        <v>349</v>
      </c>
      <c r="BQ27" s="340"/>
      <c r="BR27" s="330" t="s">
        <v>349</v>
      </c>
      <c r="BS27" s="340"/>
      <c r="BT27" s="330" t="s">
        <v>349</v>
      </c>
      <c r="BU27" s="345"/>
      <c r="BV27" s="346"/>
      <c r="BW27" s="330" t="s">
        <v>349</v>
      </c>
      <c r="BX27" s="340"/>
      <c r="BY27" s="330" t="s">
        <v>349</v>
      </c>
      <c r="BZ27" s="340"/>
      <c r="CA27" s="330" t="s">
        <v>349</v>
      </c>
      <c r="CB27" s="340"/>
      <c r="CC27" s="330" t="s">
        <v>349</v>
      </c>
      <c r="CD27" s="345"/>
      <c r="CE27" s="346"/>
      <c r="CF27" s="330" t="s">
        <v>349</v>
      </c>
      <c r="CG27" s="340"/>
      <c r="CH27" s="330" t="s">
        <v>349</v>
      </c>
      <c r="CI27" s="340"/>
      <c r="CJ27" s="330" t="s">
        <v>349</v>
      </c>
      <c r="CK27" s="340"/>
      <c r="CL27" s="330" t="s">
        <v>349</v>
      </c>
      <c r="CM27" s="351"/>
    </row>
    <row r="28" spans="1:91" ht="14.25">
      <c r="A28" s="254" t="s">
        <v>314</v>
      </c>
      <c r="B28" s="336"/>
      <c r="C28" s="329" t="s">
        <v>349</v>
      </c>
      <c r="D28" s="339"/>
      <c r="E28" s="329" t="s">
        <v>349</v>
      </c>
      <c r="F28" s="339"/>
      <c r="G28" s="329" t="s">
        <v>349</v>
      </c>
      <c r="H28" s="339"/>
      <c r="I28" s="329" t="s">
        <v>349</v>
      </c>
      <c r="J28" s="343"/>
      <c r="K28" s="344"/>
      <c r="L28" s="329" t="s">
        <v>349</v>
      </c>
      <c r="M28" s="339"/>
      <c r="N28" s="329" t="s">
        <v>349</v>
      </c>
      <c r="O28" s="339"/>
      <c r="P28" s="329" t="s">
        <v>349</v>
      </c>
      <c r="Q28" s="339"/>
      <c r="R28" s="329" t="s">
        <v>349</v>
      </c>
      <c r="S28" s="343"/>
      <c r="T28" s="344"/>
      <c r="U28" s="329" t="s">
        <v>349</v>
      </c>
      <c r="V28" s="339"/>
      <c r="W28" s="329" t="s">
        <v>349</v>
      </c>
      <c r="X28" s="339"/>
      <c r="Y28" s="329" t="s">
        <v>349</v>
      </c>
      <c r="Z28" s="339"/>
      <c r="AA28" s="329" t="s">
        <v>349</v>
      </c>
      <c r="AB28" s="343"/>
      <c r="AC28" s="344"/>
      <c r="AD28" s="329" t="s">
        <v>349</v>
      </c>
      <c r="AE28" s="339"/>
      <c r="AF28" s="329" t="s">
        <v>349</v>
      </c>
      <c r="AG28" s="339"/>
      <c r="AH28" s="329" t="s">
        <v>349</v>
      </c>
      <c r="AI28" s="339"/>
      <c r="AJ28" s="329" t="s">
        <v>349</v>
      </c>
      <c r="AK28" s="343"/>
      <c r="AL28" s="344"/>
      <c r="AM28" s="329" t="s">
        <v>349</v>
      </c>
      <c r="AN28" s="339"/>
      <c r="AO28" s="329" t="s">
        <v>349</v>
      </c>
      <c r="AP28" s="339"/>
      <c r="AQ28" s="329" t="s">
        <v>349</v>
      </c>
      <c r="AR28" s="339"/>
      <c r="AS28" s="329" t="s">
        <v>349</v>
      </c>
      <c r="AT28" s="339"/>
      <c r="AU28" s="788"/>
      <c r="AV28" s="789"/>
      <c r="AW28" s="789"/>
      <c r="AX28" s="789"/>
      <c r="AY28" s="789"/>
      <c r="AZ28" s="789"/>
      <c r="BA28" s="789"/>
      <c r="BB28" s="789"/>
      <c r="BC28" s="789"/>
      <c r="BD28" s="789"/>
      <c r="BE28" s="789"/>
      <c r="BF28" s="789"/>
      <c r="BG28" s="789"/>
      <c r="BH28" s="789"/>
      <c r="BI28" s="789"/>
      <c r="BJ28" s="789"/>
      <c r="BK28" s="789"/>
      <c r="BL28" s="789"/>
      <c r="BM28" s="789"/>
      <c r="BN28" s="789"/>
      <c r="BO28" s="789"/>
      <c r="BP28" s="789"/>
      <c r="BQ28" s="789"/>
      <c r="BR28" s="789"/>
      <c r="BS28" s="789"/>
      <c r="BT28" s="789"/>
      <c r="BU28" s="789"/>
      <c r="BV28" s="789"/>
      <c r="BW28" s="789"/>
      <c r="BX28" s="789"/>
      <c r="BY28" s="789"/>
      <c r="BZ28" s="789"/>
      <c r="CA28" s="789"/>
      <c r="CB28" s="789"/>
      <c r="CC28" s="789"/>
      <c r="CD28" s="789"/>
      <c r="CE28" s="789"/>
      <c r="CF28" s="789"/>
      <c r="CG28" s="789"/>
      <c r="CH28" s="789"/>
      <c r="CI28" s="789"/>
      <c r="CJ28" s="789"/>
      <c r="CK28" s="789"/>
      <c r="CL28" s="789"/>
      <c r="CM28" s="790"/>
    </row>
    <row r="29" spans="1:91" ht="14.25">
      <c r="A29" s="254" t="s">
        <v>315</v>
      </c>
      <c r="B29" s="336"/>
      <c r="C29" s="329" t="s">
        <v>349</v>
      </c>
      <c r="D29" s="339"/>
      <c r="E29" s="329" t="s">
        <v>349</v>
      </c>
      <c r="F29" s="339"/>
      <c r="G29" s="329" t="s">
        <v>349</v>
      </c>
      <c r="H29" s="339"/>
      <c r="I29" s="329" t="s">
        <v>349</v>
      </c>
      <c r="J29" s="343"/>
      <c r="K29" s="344"/>
      <c r="L29" s="329" t="s">
        <v>349</v>
      </c>
      <c r="M29" s="339"/>
      <c r="N29" s="329" t="s">
        <v>349</v>
      </c>
      <c r="O29" s="339"/>
      <c r="P29" s="329" t="s">
        <v>349</v>
      </c>
      <c r="Q29" s="339"/>
      <c r="R29" s="329" t="s">
        <v>349</v>
      </c>
      <c r="S29" s="343"/>
      <c r="T29" s="344"/>
      <c r="U29" s="329" t="s">
        <v>349</v>
      </c>
      <c r="V29" s="339"/>
      <c r="W29" s="329" t="s">
        <v>349</v>
      </c>
      <c r="X29" s="339"/>
      <c r="Y29" s="329" t="s">
        <v>349</v>
      </c>
      <c r="Z29" s="339"/>
      <c r="AA29" s="329" t="s">
        <v>349</v>
      </c>
      <c r="AB29" s="343"/>
      <c r="AC29" s="344"/>
      <c r="AD29" s="329" t="s">
        <v>349</v>
      </c>
      <c r="AE29" s="339"/>
      <c r="AF29" s="329" t="s">
        <v>349</v>
      </c>
      <c r="AG29" s="339"/>
      <c r="AH29" s="329" t="s">
        <v>349</v>
      </c>
      <c r="AI29" s="339"/>
      <c r="AJ29" s="329" t="s">
        <v>349</v>
      </c>
      <c r="AK29" s="343"/>
      <c r="AL29" s="344"/>
      <c r="AM29" s="329" t="s">
        <v>349</v>
      </c>
      <c r="AN29" s="339"/>
      <c r="AO29" s="329" t="s">
        <v>349</v>
      </c>
      <c r="AP29" s="339"/>
      <c r="AQ29" s="329" t="s">
        <v>349</v>
      </c>
      <c r="AR29" s="339"/>
      <c r="AS29" s="329" t="s">
        <v>349</v>
      </c>
      <c r="AT29" s="339"/>
      <c r="AU29" s="791"/>
      <c r="AV29" s="792"/>
      <c r="AW29" s="792"/>
      <c r="AX29" s="792"/>
      <c r="AY29" s="792"/>
      <c r="AZ29" s="792"/>
      <c r="BA29" s="792"/>
      <c r="BB29" s="792"/>
      <c r="BC29" s="792"/>
      <c r="BD29" s="792"/>
      <c r="BE29" s="792"/>
      <c r="BF29" s="792"/>
      <c r="BG29" s="792"/>
      <c r="BH29" s="792"/>
      <c r="BI29" s="792"/>
      <c r="BJ29" s="792"/>
      <c r="BK29" s="792"/>
      <c r="BL29" s="792"/>
      <c r="BM29" s="792"/>
      <c r="BN29" s="792"/>
      <c r="BO29" s="792"/>
      <c r="BP29" s="792"/>
      <c r="BQ29" s="792"/>
      <c r="BR29" s="792"/>
      <c r="BS29" s="792"/>
      <c r="BT29" s="792"/>
      <c r="BU29" s="792"/>
      <c r="BV29" s="792"/>
      <c r="BW29" s="792"/>
      <c r="BX29" s="792"/>
      <c r="BY29" s="792"/>
      <c r="BZ29" s="792"/>
      <c r="CA29" s="792"/>
      <c r="CB29" s="792"/>
      <c r="CC29" s="792"/>
      <c r="CD29" s="792"/>
      <c r="CE29" s="792"/>
      <c r="CF29" s="792"/>
      <c r="CG29" s="792"/>
      <c r="CH29" s="792"/>
      <c r="CI29" s="792"/>
      <c r="CJ29" s="792"/>
      <c r="CK29" s="792"/>
      <c r="CL29" s="792"/>
      <c r="CM29" s="793"/>
    </row>
    <row r="30" spans="1:91" ht="14.25">
      <c r="A30" s="254" t="s">
        <v>316</v>
      </c>
      <c r="B30" s="336"/>
      <c r="C30" s="329" t="s">
        <v>349</v>
      </c>
      <c r="D30" s="339"/>
      <c r="E30" s="329" t="s">
        <v>349</v>
      </c>
      <c r="F30" s="339"/>
      <c r="G30" s="329" t="s">
        <v>349</v>
      </c>
      <c r="H30" s="339"/>
      <c r="I30" s="329" t="s">
        <v>349</v>
      </c>
      <c r="J30" s="343"/>
      <c r="K30" s="344"/>
      <c r="L30" s="329" t="s">
        <v>349</v>
      </c>
      <c r="M30" s="339"/>
      <c r="N30" s="329" t="s">
        <v>349</v>
      </c>
      <c r="O30" s="339"/>
      <c r="P30" s="329" t="s">
        <v>349</v>
      </c>
      <c r="Q30" s="339"/>
      <c r="R30" s="329" t="s">
        <v>349</v>
      </c>
      <c r="S30" s="343"/>
      <c r="T30" s="344"/>
      <c r="U30" s="329" t="s">
        <v>349</v>
      </c>
      <c r="V30" s="339"/>
      <c r="W30" s="329" t="s">
        <v>349</v>
      </c>
      <c r="X30" s="339"/>
      <c r="Y30" s="329" t="s">
        <v>349</v>
      </c>
      <c r="Z30" s="339"/>
      <c r="AA30" s="329" t="s">
        <v>349</v>
      </c>
      <c r="AB30" s="343"/>
      <c r="AC30" s="344"/>
      <c r="AD30" s="329" t="s">
        <v>349</v>
      </c>
      <c r="AE30" s="339"/>
      <c r="AF30" s="329" t="s">
        <v>349</v>
      </c>
      <c r="AG30" s="339"/>
      <c r="AH30" s="329" t="s">
        <v>349</v>
      </c>
      <c r="AI30" s="339"/>
      <c r="AJ30" s="329" t="s">
        <v>349</v>
      </c>
      <c r="AK30" s="343"/>
      <c r="AL30" s="344"/>
      <c r="AM30" s="329" t="s">
        <v>349</v>
      </c>
      <c r="AN30" s="339"/>
      <c r="AO30" s="329" t="s">
        <v>349</v>
      </c>
      <c r="AP30" s="339"/>
      <c r="AQ30" s="329" t="s">
        <v>349</v>
      </c>
      <c r="AR30" s="339"/>
      <c r="AS30" s="329" t="s">
        <v>349</v>
      </c>
      <c r="AT30" s="339"/>
      <c r="AU30" s="791"/>
      <c r="AV30" s="792"/>
      <c r="AW30" s="792"/>
      <c r="AX30" s="792"/>
      <c r="AY30" s="792"/>
      <c r="AZ30" s="792"/>
      <c r="BA30" s="792"/>
      <c r="BB30" s="792"/>
      <c r="BC30" s="792"/>
      <c r="BD30" s="792"/>
      <c r="BE30" s="792"/>
      <c r="BF30" s="792"/>
      <c r="BG30" s="792"/>
      <c r="BH30" s="792"/>
      <c r="BI30" s="792"/>
      <c r="BJ30" s="792"/>
      <c r="BK30" s="792"/>
      <c r="BL30" s="792"/>
      <c r="BM30" s="792"/>
      <c r="BN30" s="792"/>
      <c r="BO30" s="792"/>
      <c r="BP30" s="792"/>
      <c r="BQ30" s="792"/>
      <c r="BR30" s="792"/>
      <c r="BS30" s="792"/>
      <c r="BT30" s="792"/>
      <c r="BU30" s="792"/>
      <c r="BV30" s="792"/>
      <c r="BW30" s="792"/>
      <c r="BX30" s="792"/>
      <c r="BY30" s="792"/>
      <c r="BZ30" s="792"/>
      <c r="CA30" s="792"/>
      <c r="CB30" s="792"/>
      <c r="CC30" s="792"/>
      <c r="CD30" s="792"/>
      <c r="CE30" s="792"/>
      <c r="CF30" s="792"/>
      <c r="CG30" s="792"/>
      <c r="CH30" s="792"/>
      <c r="CI30" s="792"/>
      <c r="CJ30" s="792"/>
      <c r="CK30" s="792"/>
      <c r="CL30" s="792"/>
      <c r="CM30" s="793"/>
    </row>
    <row r="31" spans="1:91" ht="14.25">
      <c r="A31" s="254" t="s">
        <v>317</v>
      </c>
      <c r="B31" s="336"/>
      <c r="C31" s="329" t="s">
        <v>349</v>
      </c>
      <c r="D31" s="339"/>
      <c r="E31" s="329" t="s">
        <v>349</v>
      </c>
      <c r="F31" s="339"/>
      <c r="G31" s="329" t="s">
        <v>349</v>
      </c>
      <c r="H31" s="339"/>
      <c r="I31" s="329" t="s">
        <v>349</v>
      </c>
      <c r="J31" s="343"/>
      <c r="K31" s="344"/>
      <c r="L31" s="329" t="s">
        <v>349</v>
      </c>
      <c r="M31" s="339"/>
      <c r="N31" s="329" t="s">
        <v>349</v>
      </c>
      <c r="O31" s="339"/>
      <c r="P31" s="329" t="s">
        <v>349</v>
      </c>
      <c r="Q31" s="339"/>
      <c r="R31" s="329" t="s">
        <v>349</v>
      </c>
      <c r="S31" s="343"/>
      <c r="T31" s="344"/>
      <c r="U31" s="329" t="s">
        <v>349</v>
      </c>
      <c r="V31" s="339"/>
      <c r="W31" s="329" t="s">
        <v>349</v>
      </c>
      <c r="X31" s="339"/>
      <c r="Y31" s="329" t="s">
        <v>349</v>
      </c>
      <c r="Z31" s="339"/>
      <c r="AA31" s="329" t="s">
        <v>349</v>
      </c>
      <c r="AB31" s="343"/>
      <c r="AC31" s="344"/>
      <c r="AD31" s="329" t="s">
        <v>349</v>
      </c>
      <c r="AE31" s="339"/>
      <c r="AF31" s="329" t="s">
        <v>349</v>
      </c>
      <c r="AG31" s="339"/>
      <c r="AH31" s="329" t="s">
        <v>349</v>
      </c>
      <c r="AI31" s="339"/>
      <c r="AJ31" s="329" t="s">
        <v>349</v>
      </c>
      <c r="AK31" s="343"/>
      <c r="AL31" s="344"/>
      <c r="AM31" s="329" t="s">
        <v>349</v>
      </c>
      <c r="AN31" s="339"/>
      <c r="AO31" s="329" t="s">
        <v>349</v>
      </c>
      <c r="AP31" s="339"/>
      <c r="AQ31" s="329" t="s">
        <v>349</v>
      </c>
      <c r="AR31" s="339"/>
      <c r="AS31" s="329" t="s">
        <v>349</v>
      </c>
      <c r="AT31" s="339"/>
      <c r="AU31" s="791"/>
      <c r="AV31" s="792"/>
      <c r="AW31" s="792"/>
      <c r="AX31" s="792"/>
      <c r="AY31" s="792"/>
      <c r="AZ31" s="792"/>
      <c r="BA31" s="792"/>
      <c r="BB31" s="792"/>
      <c r="BC31" s="792"/>
      <c r="BD31" s="792"/>
      <c r="BE31" s="792"/>
      <c r="BF31" s="792"/>
      <c r="BG31" s="792"/>
      <c r="BH31" s="792"/>
      <c r="BI31" s="792"/>
      <c r="BJ31" s="792"/>
      <c r="BK31" s="792"/>
      <c r="BL31" s="792"/>
      <c r="BM31" s="792"/>
      <c r="BN31" s="792"/>
      <c r="BO31" s="792"/>
      <c r="BP31" s="792"/>
      <c r="BQ31" s="792"/>
      <c r="BR31" s="792"/>
      <c r="BS31" s="792"/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2"/>
      <c r="CG31" s="792"/>
      <c r="CH31" s="792"/>
      <c r="CI31" s="792"/>
      <c r="CJ31" s="792"/>
      <c r="CK31" s="792"/>
      <c r="CL31" s="792"/>
      <c r="CM31" s="793"/>
    </row>
    <row r="32" spans="1:91" ht="14.25">
      <c r="A32" s="254" t="s">
        <v>318</v>
      </c>
      <c r="B32" s="336"/>
      <c r="C32" s="329" t="s">
        <v>349</v>
      </c>
      <c r="D32" s="339"/>
      <c r="E32" s="329" t="s">
        <v>349</v>
      </c>
      <c r="F32" s="339"/>
      <c r="G32" s="329" t="s">
        <v>349</v>
      </c>
      <c r="H32" s="339"/>
      <c r="I32" s="329" t="s">
        <v>349</v>
      </c>
      <c r="J32" s="343"/>
      <c r="K32" s="344"/>
      <c r="L32" s="329" t="s">
        <v>349</v>
      </c>
      <c r="M32" s="339"/>
      <c r="N32" s="329" t="s">
        <v>349</v>
      </c>
      <c r="O32" s="339"/>
      <c r="P32" s="329" t="s">
        <v>349</v>
      </c>
      <c r="Q32" s="339"/>
      <c r="R32" s="329" t="s">
        <v>349</v>
      </c>
      <c r="S32" s="343"/>
      <c r="T32" s="344"/>
      <c r="U32" s="329" t="s">
        <v>349</v>
      </c>
      <c r="V32" s="339"/>
      <c r="W32" s="329" t="s">
        <v>349</v>
      </c>
      <c r="X32" s="339"/>
      <c r="Y32" s="329" t="s">
        <v>349</v>
      </c>
      <c r="Z32" s="339"/>
      <c r="AA32" s="329" t="s">
        <v>349</v>
      </c>
      <c r="AB32" s="343"/>
      <c r="AC32" s="344"/>
      <c r="AD32" s="329" t="s">
        <v>349</v>
      </c>
      <c r="AE32" s="339"/>
      <c r="AF32" s="329" t="s">
        <v>349</v>
      </c>
      <c r="AG32" s="339"/>
      <c r="AH32" s="329" t="s">
        <v>349</v>
      </c>
      <c r="AI32" s="339"/>
      <c r="AJ32" s="329" t="s">
        <v>349</v>
      </c>
      <c r="AK32" s="343"/>
      <c r="AL32" s="344"/>
      <c r="AM32" s="329" t="s">
        <v>349</v>
      </c>
      <c r="AN32" s="339"/>
      <c r="AO32" s="329" t="s">
        <v>349</v>
      </c>
      <c r="AP32" s="339"/>
      <c r="AQ32" s="329" t="s">
        <v>349</v>
      </c>
      <c r="AR32" s="339"/>
      <c r="AS32" s="329" t="s">
        <v>349</v>
      </c>
      <c r="AT32" s="339"/>
      <c r="AU32" s="791"/>
      <c r="AV32" s="792"/>
      <c r="AW32" s="792"/>
      <c r="AX32" s="792"/>
      <c r="AY32" s="792"/>
      <c r="AZ32" s="792"/>
      <c r="BA32" s="792"/>
      <c r="BB32" s="792"/>
      <c r="BC32" s="792"/>
      <c r="BD32" s="792"/>
      <c r="BE32" s="792"/>
      <c r="BF32" s="792"/>
      <c r="BG32" s="792"/>
      <c r="BH32" s="792"/>
      <c r="BI32" s="792"/>
      <c r="BJ32" s="792"/>
      <c r="BK32" s="792"/>
      <c r="BL32" s="792"/>
      <c r="BM32" s="792"/>
      <c r="BN32" s="792"/>
      <c r="BO32" s="792"/>
      <c r="BP32" s="792"/>
      <c r="BQ32" s="792"/>
      <c r="BR32" s="792"/>
      <c r="BS32" s="792"/>
      <c r="BT32" s="792"/>
      <c r="BU32" s="792"/>
      <c r="BV32" s="792"/>
      <c r="BW32" s="792"/>
      <c r="BX32" s="792"/>
      <c r="BY32" s="792"/>
      <c r="BZ32" s="792"/>
      <c r="CA32" s="792"/>
      <c r="CB32" s="792"/>
      <c r="CC32" s="792"/>
      <c r="CD32" s="792"/>
      <c r="CE32" s="792"/>
      <c r="CF32" s="792"/>
      <c r="CG32" s="792"/>
      <c r="CH32" s="792"/>
      <c r="CI32" s="792"/>
      <c r="CJ32" s="792"/>
      <c r="CK32" s="792"/>
      <c r="CL32" s="792"/>
      <c r="CM32" s="793"/>
    </row>
    <row r="33" spans="1:91" ht="14.25">
      <c r="A33" s="254" t="s">
        <v>319</v>
      </c>
      <c r="B33" s="336"/>
      <c r="C33" s="329" t="s">
        <v>349</v>
      </c>
      <c r="D33" s="339"/>
      <c r="E33" s="329" t="s">
        <v>349</v>
      </c>
      <c r="F33" s="339"/>
      <c r="G33" s="329" t="s">
        <v>349</v>
      </c>
      <c r="H33" s="339"/>
      <c r="I33" s="329" t="s">
        <v>349</v>
      </c>
      <c r="J33" s="343"/>
      <c r="K33" s="344"/>
      <c r="L33" s="329" t="s">
        <v>349</v>
      </c>
      <c r="M33" s="339"/>
      <c r="N33" s="329" t="s">
        <v>349</v>
      </c>
      <c r="O33" s="339"/>
      <c r="P33" s="329" t="s">
        <v>349</v>
      </c>
      <c r="Q33" s="339"/>
      <c r="R33" s="329" t="s">
        <v>349</v>
      </c>
      <c r="S33" s="343"/>
      <c r="T33" s="344"/>
      <c r="U33" s="329" t="s">
        <v>349</v>
      </c>
      <c r="V33" s="339"/>
      <c r="W33" s="329" t="s">
        <v>349</v>
      </c>
      <c r="X33" s="339"/>
      <c r="Y33" s="329" t="s">
        <v>349</v>
      </c>
      <c r="Z33" s="339"/>
      <c r="AA33" s="329" t="s">
        <v>349</v>
      </c>
      <c r="AB33" s="343"/>
      <c r="AC33" s="344"/>
      <c r="AD33" s="329" t="s">
        <v>349</v>
      </c>
      <c r="AE33" s="339"/>
      <c r="AF33" s="329" t="s">
        <v>349</v>
      </c>
      <c r="AG33" s="339"/>
      <c r="AH33" s="329" t="s">
        <v>349</v>
      </c>
      <c r="AI33" s="339"/>
      <c r="AJ33" s="329" t="s">
        <v>349</v>
      </c>
      <c r="AK33" s="343"/>
      <c r="AL33" s="344"/>
      <c r="AM33" s="329" t="s">
        <v>349</v>
      </c>
      <c r="AN33" s="339"/>
      <c r="AO33" s="329" t="s">
        <v>349</v>
      </c>
      <c r="AP33" s="339"/>
      <c r="AQ33" s="329" t="s">
        <v>349</v>
      </c>
      <c r="AR33" s="339"/>
      <c r="AS33" s="329" t="s">
        <v>349</v>
      </c>
      <c r="AT33" s="339"/>
      <c r="AU33" s="791"/>
      <c r="AV33" s="792"/>
      <c r="AW33" s="792"/>
      <c r="AX33" s="792"/>
      <c r="AY33" s="792"/>
      <c r="AZ33" s="792"/>
      <c r="BA33" s="792"/>
      <c r="BB33" s="792"/>
      <c r="BC33" s="792"/>
      <c r="BD33" s="792"/>
      <c r="BE33" s="792"/>
      <c r="BF33" s="792"/>
      <c r="BG33" s="792"/>
      <c r="BH33" s="792"/>
      <c r="BI33" s="792"/>
      <c r="BJ33" s="792"/>
      <c r="BK33" s="792"/>
      <c r="BL33" s="792"/>
      <c r="BM33" s="792"/>
      <c r="BN33" s="792"/>
      <c r="BO33" s="792"/>
      <c r="BP33" s="792"/>
      <c r="BQ33" s="792"/>
      <c r="BR33" s="792"/>
      <c r="BS33" s="792"/>
      <c r="BT33" s="792"/>
      <c r="BU33" s="792"/>
      <c r="BV33" s="792"/>
      <c r="BW33" s="792"/>
      <c r="BX33" s="792"/>
      <c r="BY33" s="792"/>
      <c r="BZ33" s="792"/>
      <c r="CA33" s="792"/>
      <c r="CB33" s="792"/>
      <c r="CC33" s="792"/>
      <c r="CD33" s="792"/>
      <c r="CE33" s="792"/>
      <c r="CF33" s="792"/>
      <c r="CG33" s="792"/>
      <c r="CH33" s="792"/>
      <c r="CI33" s="792"/>
      <c r="CJ33" s="792"/>
      <c r="CK33" s="792"/>
      <c r="CL33" s="792"/>
      <c r="CM33" s="793"/>
    </row>
    <row r="34" spans="1:91" ht="14.25">
      <c r="A34" s="116" t="s">
        <v>320</v>
      </c>
      <c r="B34" s="336"/>
      <c r="C34" s="329" t="s">
        <v>349</v>
      </c>
      <c r="D34" s="339"/>
      <c r="E34" s="329" t="s">
        <v>349</v>
      </c>
      <c r="F34" s="339"/>
      <c r="G34" s="329" t="s">
        <v>349</v>
      </c>
      <c r="H34" s="339"/>
      <c r="I34" s="329" t="s">
        <v>349</v>
      </c>
      <c r="J34" s="343"/>
      <c r="K34" s="344"/>
      <c r="L34" s="329" t="s">
        <v>349</v>
      </c>
      <c r="M34" s="339"/>
      <c r="N34" s="329" t="s">
        <v>349</v>
      </c>
      <c r="O34" s="339"/>
      <c r="P34" s="329" t="s">
        <v>349</v>
      </c>
      <c r="Q34" s="339"/>
      <c r="R34" s="329" t="s">
        <v>349</v>
      </c>
      <c r="S34" s="343"/>
      <c r="T34" s="344"/>
      <c r="U34" s="329" t="s">
        <v>349</v>
      </c>
      <c r="V34" s="339"/>
      <c r="W34" s="329" t="s">
        <v>349</v>
      </c>
      <c r="X34" s="339"/>
      <c r="Y34" s="329" t="s">
        <v>349</v>
      </c>
      <c r="Z34" s="339"/>
      <c r="AA34" s="329" t="s">
        <v>349</v>
      </c>
      <c r="AB34" s="343"/>
      <c r="AC34" s="344"/>
      <c r="AD34" s="329" t="s">
        <v>349</v>
      </c>
      <c r="AE34" s="339"/>
      <c r="AF34" s="329" t="s">
        <v>349</v>
      </c>
      <c r="AG34" s="339"/>
      <c r="AH34" s="329" t="s">
        <v>349</v>
      </c>
      <c r="AI34" s="339"/>
      <c r="AJ34" s="329" t="s">
        <v>349</v>
      </c>
      <c r="AK34" s="343"/>
      <c r="AL34" s="344"/>
      <c r="AM34" s="329" t="s">
        <v>349</v>
      </c>
      <c r="AN34" s="339"/>
      <c r="AO34" s="329" t="s">
        <v>349</v>
      </c>
      <c r="AP34" s="339"/>
      <c r="AQ34" s="329" t="s">
        <v>349</v>
      </c>
      <c r="AR34" s="339"/>
      <c r="AS34" s="329" t="s">
        <v>349</v>
      </c>
      <c r="AT34" s="339"/>
      <c r="AU34" s="791"/>
      <c r="AV34" s="792"/>
      <c r="AW34" s="792"/>
      <c r="AX34" s="792"/>
      <c r="AY34" s="792"/>
      <c r="AZ34" s="792"/>
      <c r="BA34" s="792"/>
      <c r="BB34" s="792"/>
      <c r="BC34" s="792"/>
      <c r="BD34" s="792"/>
      <c r="BE34" s="792"/>
      <c r="BF34" s="792"/>
      <c r="BG34" s="792"/>
      <c r="BH34" s="792"/>
      <c r="BI34" s="792"/>
      <c r="BJ34" s="792"/>
      <c r="BK34" s="792"/>
      <c r="BL34" s="792"/>
      <c r="BM34" s="792"/>
      <c r="BN34" s="792"/>
      <c r="BO34" s="792"/>
      <c r="BP34" s="792"/>
      <c r="BQ34" s="792"/>
      <c r="BR34" s="792"/>
      <c r="BS34" s="792"/>
      <c r="BT34" s="792"/>
      <c r="BU34" s="792"/>
      <c r="BV34" s="792"/>
      <c r="BW34" s="792"/>
      <c r="BX34" s="792"/>
      <c r="BY34" s="792"/>
      <c r="BZ34" s="792"/>
      <c r="CA34" s="792"/>
      <c r="CB34" s="792"/>
      <c r="CC34" s="792"/>
      <c r="CD34" s="792"/>
      <c r="CE34" s="792"/>
      <c r="CF34" s="792"/>
      <c r="CG34" s="792"/>
      <c r="CH34" s="792"/>
      <c r="CI34" s="792"/>
      <c r="CJ34" s="792"/>
      <c r="CK34" s="792"/>
      <c r="CL34" s="792"/>
      <c r="CM34" s="793"/>
    </row>
    <row r="35" spans="1:91" ht="14.25">
      <c r="A35" s="117" t="s">
        <v>321</v>
      </c>
      <c r="B35" s="337"/>
      <c r="C35" s="330" t="s">
        <v>349</v>
      </c>
      <c r="D35" s="340"/>
      <c r="E35" s="330" t="s">
        <v>349</v>
      </c>
      <c r="F35" s="340"/>
      <c r="G35" s="330" t="s">
        <v>349</v>
      </c>
      <c r="H35" s="340"/>
      <c r="I35" s="330" t="s">
        <v>349</v>
      </c>
      <c r="J35" s="345"/>
      <c r="K35" s="346"/>
      <c r="L35" s="330" t="s">
        <v>349</v>
      </c>
      <c r="M35" s="340"/>
      <c r="N35" s="330" t="s">
        <v>349</v>
      </c>
      <c r="O35" s="340"/>
      <c r="P35" s="330" t="s">
        <v>349</v>
      </c>
      <c r="Q35" s="340"/>
      <c r="R35" s="330" t="s">
        <v>349</v>
      </c>
      <c r="S35" s="345"/>
      <c r="T35" s="346"/>
      <c r="U35" s="330" t="s">
        <v>349</v>
      </c>
      <c r="V35" s="340"/>
      <c r="W35" s="330" t="s">
        <v>349</v>
      </c>
      <c r="X35" s="340"/>
      <c r="Y35" s="330" t="s">
        <v>349</v>
      </c>
      <c r="Z35" s="340"/>
      <c r="AA35" s="330" t="s">
        <v>349</v>
      </c>
      <c r="AB35" s="345"/>
      <c r="AC35" s="346"/>
      <c r="AD35" s="330" t="s">
        <v>349</v>
      </c>
      <c r="AE35" s="340"/>
      <c r="AF35" s="330" t="s">
        <v>349</v>
      </c>
      <c r="AG35" s="340"/>
      <c r="AH35" s="330" t="s">
        <v>349</v>
      </c>
      <c r="AI35" s="340"/>
      <c r="AJ35" s="330" t="s">
        <v>349</v>
      </c>
      <c r="AK35" s="345"/>
      <c r="AL35" s="346"/>
      <c r="AM35" s="330" t="s">
        <v>349</v>
      </c>
      <c r="AN35" s="340"/>
      <c r="AO35" s="330" t="s">
        <v>349</v>
      </c>
      <c r="AP35" s="340"/>
      <c r="AQ35" s="330" t="s">
        <v>349</v>
      </c>
      <c r="AR35" s="340"/>
      <c r="AS35" s="330" t="s">
        <v>349</v>
      </c>
      <c r="AT35" s="340"/>
      <c r="AU35" s="794"/>
      <c r="AV35" s="795"/>
      <c r="AW35" s="795"/>
      <c r="AX35" s="795"/>
      <c r="AY35" s="795"/>
      <c r="AZ35" s="795"/>
      <c r="BA35" s="795"/>
      <c r="BB35" s="795"/>
      <c r="BC35" s="795"/>
      <c r="BD35" s="795"/>
      <c r="BE35" s="795"/>
      <c r="BF35" s="795"/>
      <c r="BG35" s="795"/>
      <c r="BH35" s="795"/>
      <c r="BI35" s="795"/>
      <c r="BJ35" s="795"/>
      <c r="BK35" s="795"/>
      <c r="BL35" s="795"/>
      <c r="BM35" s="795"/>
      <c r="BN35" s="795"/>
      <c r="BO35" s="795"/>
      <c r="BP35" s="795"/>
      <c r="BQ35" s="795"/>
      <c r="BR35" s="795"/>
      <c r="BS35" s="795"/>
      <c r="BT35" s="795"/>
      <c r="BU35" s="795"/>
      <c r="BV35" s="795"/>
      <c r="BW35" s="795"/>
      <c r="BX35" s="795"/>
      <c r="BY35" s="795"/>
      <c r="BZ35" s="795"/>
      <c r="CA35" s="795"/>
      <c r="CB35" s="795"/>
      <c r="CC35" s="795"/>
      <c r="CD35" s="795"/>
      <c r="CE35" s="795"/>
      <c r="CF35" s="795"/>
      <c r="CG35" s="795"/>
      <c r="CH35" s="795"/>
      <c r="CI35" s="795"/>
      <c r="CJ35" s="795"/>
      <c r="CK35" s="795"/>
      <c r="CL35" s="795"/>
      <c r="CM35" s="796"/>
    </row>
    <row r="36" spans="1:101" ht="3.75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O36" s="275"/>
      <c r="CP36" s="275"/>
      <c r="CQ36" s="275"/>
      <c r="CR36" s="275"/>
      <c r="CS36" s="275"/>
      <c r="CT36" s="275"/>
      <c r="CU36" s="275"/>
      <c r="CV36" s="276"/>
      <c r="CW36" s="276"/>
    </row>
    <row r="37" spans="1:110" ht="14.25">
      <c r="A37" s="122"/>
      <c r="B37" s="761" t="s">
        <v>158</v>
      </c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61"/>
      <c r="AK37" s="761"/>
      <c r="AL37" s="761"/>
      <c r="AM37" s="761"/>
      <c r="AN37" s="761"/>
      <c r="AO37" s="761"/>
      <c r="AP37" s="761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Y37" s="122"/>
      <c r="CZ37" s="122"/>
      <c r="DA37" s="122"/>
      <c r="DB37" s="122"/>
      <c r="DC37" s="122"/>
      <c r="DD37" s="122"/>
      <c r="DE37" s="122"/>
      <c r="DF37" s="118"/>
    </row>
    <row r="38" spans="1:106" ht="14.25">
      <c r="A38" s="302"/>
      <c r="B38" s="706" t="s">
        <v>159</v>
      </c>
      <c r="C38" s="706"/>
      <c r="D38" s="706" t="s">
        <v>99</v>
      </c>
      <c r="E38" s="706"/>
      <c r="F38" s="706"/>
      <c r="G38" s="706"/>
      <c r="H38" s="706"/>
      <c r="I38" s="706"/>
      <c r="J38" s="706"/>
      <c r="K38" s="706"/>
      <c r="L38" s="706"/>
      <c r="M38" s="302"/>
      <c r="N38" s="706" t="s">
        <v>159</v>
      </c>
      <c r="O38" s="706"/>
      <c r="P38" s="706" t="s">
        <v>99</v>
      </c>
      <c r="Q38" s="706"/>
      <c r="R38" s="706"/>
      <c r="S38" s="706"/>
      <c r="T38" s="706"/>
      <c r="U38" s="706"/>
      <c r="V38" s="706"/>
      <c r="W38" s="706"/>
      <c r="X38" s="706"/>
      <c r="Y38" s="706"/>
      <c r="Z38" s="302"/>
      <c r="AA38" s="706" t="s">
        <v>159</v>
      </c>
      <c r="AB38" s="706"/>
      <c r="AC38" s="706" t="s">
        <v>99</v>
      </c>
      <c r="AD38" s="706"/>
      <c r="AE38" s="706"/>
      <c r="AF38" s="706"/>
      <c r="AG38" s="706"/>
      <c r="AH38" s="706"/>
      <c r="AI38" s="706"/>
      <c r="AJ38" s="706"/>
      <c r="AK38" s="706"/>
      <c r="AL38" s="706"/>
      <c r="AM38" s="706"/>
      <c r="AN38" s="706"/>
      <c r="AO38" s="706"/>
      <c r="AP38" s="706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Y38" s="123"/>
      <c r="CZ38" s="123"/>
      <c r="DA38" s="123"/>
      <c r="DB38" s="118"/>
    </row>
    <row r="39" spans="1:84" ht="14.25">
      <c r="A39" s="302"/>
      <c r="B39" s="706">
        <v>1</v>
      </c>
      <c r="C39" s="706"/>
      <c r="D39" s="709" t="s">
        <v>39</v>
      </c>
      <c r="E39" s="709"/>
      <c r="F39" s="709"/>
      <c r="G39" s="709"/>
      <c r="H39" s="709"/>
      <c r="I39" s="709"/>
      <c r="J39" s="709"/>
      <c r="K39" s="332">
        <f aca="true" t="shared" si="0" ref="K39:K59">COUNTIF($B$24:$CM$35,B39)</f>
        <v>0</v>
      </c>
      <c r="L39" s="305"/>
      <c r="M39" s="302"/>
      <c r="N39" s="706">
        <v>22</v>
      </c>
      <c r="O39" s="706"/>
      <c r="P39" s="767" t="s">
        <v>60</v>
      </c>
      <c r="Q39" s="767"/>
      <c r="R39" s="767"/>
      <c r="S39" s="767"/>
      <c r="T39" s="767"/>
      <c r="U39" s="767"/>
      <c r="V39" s="767"/>
      <c r="W39" s="767"/>
      <c r="X39" s="332">
        <f>COUNTIF($B$24:$CM$35,N39)</f>
        <v>0</v>
      </c>
      <c r="Y39" s="305"/>
      <c r="Z39" s="302"/>
      <c r="AA39" s="706">
        <v>43</v>
      </c>
      <c r="AB39" s="706"/>
      <c r="AC39" s="708" t="s">
        <v>80</v>
      </c>
      <c r="AD39" s="708"/>
      <c r="AE39" s="708"/>
      <c r="AF39" s="708"/>
      <c r="AG39" s="708"/>
      <c r="AH39" s="708"/>
      <c r="AI39" s="708"/>
      <c r="AJ39" s="708"/>
      <c r="AK39" s="708"/>
      <c r="AL39" s="708"/>
      <c r="AM39" s="708"/>
      <c r="AN39" s="708"/>
      <c r="AP39" s="332">
        <f aca="true" t="shared" si="1" ref="AP39:AP59">COUNTIF($B$24:$CM$35,AA39)</f>
        <v>0</v>
      </c>
      <c r="AQ39" s="302"/>
      <c r="AR39" s="302"/>
      <c r="AS39" s="302"/>
      <c r="AT39" s="302"/>
      <c r="AU39" s="717" t="s">
        <v>21</v>
      </c>
      <c r="AV39" s="717"/>
      <c r="AW39" s="717"/>
      <c r="AX39" s="717"/>
      <c r="AY39" s="717"/>
      <c r="AZ39" s="717"/>
      <c r="BA39" s="717"/>
      <c r="BB39" s="717"/>
      <c r="BC39" s="717"/>
      <c r="BD39" s="717"/>
      <c r="BE39" s="717"/>
      <c r="BF39" s="717"/>
      <c r="BG39" s="717"/>
      <c r="BH39" s="717"/>
      <c r="BI39" s="717"/>
      <c r="BJ39" s="717"/>
      <c r="BK39" s="192"/>
      <c r="BL39" s="192"/>
      <c r="BM39" s="192"/>
      <c r="BN39" s="717" t="s">
        <v>344</v>
      </c>
      <c r="BO39" s="717"/>
      <c r="BP39" s="717"/>
      <c r="BQ39" s="717"/>
      <c r="BR39" s="717"/>
      <c r="BS39" s="717"/>
      <c r="BT39" s="717"/>
      <c r="BU39" s="717"/>
      <c r="BV39" s="717"/>
      <c r="BW39" s="717"/>
      <c r="BX39" s="717"/>
      <c r="BY39" s="717"/>
      <c r="BZ39" s="717"/>
      <c r="CA39" s="717"/>
      <c r="CB39" s="717"/>
      <c r="CC39" s="717"/>
      <c r="CD39" s="717"/>
      <c r="CE39" s="717"/>
      <c r="CF39" s="302"/>
    </row>
    <row r="40" spans="1:84" ht="14.25">
      <c r="A40" s="302"/>
      <c r="B40" s="706">
        <v>2</v>
      </c>
      <c r="C40" s="706"/>
      <c r="D40" s="709" t="s">
        <v>40</v>
      </c>
      <c r="E40" s="709"/>
      <c r="F40" s="709"/>
      <c r="G40" s="709"/>
      <c r="H40" s="709"/>
      <c r="I40" s="709"/>
      <c r="J40" s="709"/>
      <c r="K40" s="332">
        <f t="shared" si="0"/>
        <v>0</v>
      </c>
      <c r="L40" s="305"/>
      <c r="M40" s="302"/>
      <c r="N40" s="706">
        <v>23</v>
      </c>
      <c r="O40" s="706"/>
      <c r="P40" s="709" t="s">
        <v>61</v>
      </c>
      <c r="Q40" s="709"/>
      <c r="R40" s="709"/>
      <c r="S40" s="709"/>
      <c r="T40" s="709"/>
      <c r="U40" s="709"/>
      <c r="V40" s="709"/>
      <c r="W40" s="709"/>
      <c r="X40" s="332">
        <f aca="true" t="shared" si="2" ref="X40:X59">COUNTIF($B$24:$CM$35,N40)</f>
        <v>0</v>
      </c>
      <c r="Y40" s="305"/>
      <c r="Z40" s="302"/>
      <c r="AA40" s="706">
        <v>44</v>
      </c>
      <c r="AB40" s="706"/>
      <c r="AC40" s="708" t="s">
        <v>81</v>
      </c>
      <c r="AD40" s="708"/>
      <c r="AE40" s="708"/>
      <c r="AF40" s="708"/>
      <c r="AG40" s="708"/>
      <c r="AH40" s="708"/>
      <c r="AI40" s="708"/>
      <c r="AJ40" s="708"/>
      <c r="AK40" s="708"/>
      <c r="AL40" s="708"/>
      <c r="AM40" s="708"/>
      <c r="AN40" s="708"/>
      <c r="AP40" s="332">
        <f t="shared" si="1"/>
        <v>0</v>
      </c>
      <c r="AQ40" s="302"/>
      <c r="AR40" s="302"/>
      <c r="AS40" s="302"/>
      <c r="AT40" s="30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674">
        <f>IF('obrazec 1'!F4="","",'obrazec 1'!F4)</f>
      </c>
      <c r="BO40" s="674"/>
      <c r="BP40" s="674"/>
      <c r="BQ40" s="674"/>
      <c r="BR40" s="674"/>
      <c r="BS40" s="674"/>
      <c r="BT40" s="674"/>
      <c r="BU40" s="674"/>
      <c r="BV40" s="674"/>
      <c r="BW40" s="674"/>
      <c r="BX40" s="674"/>
      <c r="BY40" s="674"/>
      <c r="BZ40" s="674"/>
      <c r="CA40" s="674"/>
      <c r="CB40" s="674"/>
      <c r="CC40" s="674"/>
      <c r="CD40" s="674"/>
      <c r="CE40" s="674"/>
      <c r="CF40" s="302"/>
    </row>
    <row r="41" spans="1:84" ht="14.25">
      <c r="A41" s="302"/>
      <c r="B41" s="706">
        <v>3</v>
      </c>
      <c r="C41" s="706"/>
      <c r="D41" s="709" t="s">
        <v>41</v>
      </c>
      <c r="E41" s="709"/>
      <c r="F41" s="709"/>
      <c r="G41" s="709"/>
      <c r="H41" s="709"/>
      <c r="I41" s="709"/>
      <c r="J41" s="709"/>
      <c r="K41" s="332">
        <f t="shared" si="0"/>
        <v>0</v>
      </c>
      <c r="L41" s="305"/>
      <c r="M41" s="302"/>
      <c r="N41" s="706">
        <v>24</v>
      </c>
      <c r="O41" s="706"/>
      <c r="P41" s="709" t="s">
        <v>62</v>
      </c>
      <c r="Q41" s="709"/>
      <c r="R41" s="709"/>
      <c r="S41" s="709"/>
      <c r="T41" s="709"/>
      <c r="U41" s="709"/>
      <c r="V41" s="709"/>
      <c r="W41" s="709"/>
      <c r="X41" s="332">
        <f t="shared" si="2"/>
        <v>0</v>
      </c>
      <c r="Y41" s="305"/>
      <c r="Z41" s="302"/>
      <c r="AA41" s="706">
        <v>45</v>
      </c>
      <c r="AB41" s="706"/>
      <c r="AC41" s="708" t="s">
        <v>82</v>
      </c>
      <c r="AD41" s="708"/>
      <c r="AE41" s="708"/>
      <c r="AF41" s="708"/>
      <c r="AG41" s="708"/>
      <c r="AH41" s="708"/>
      <c r="AI41" s="708"/>
      <c r="AJ41" s="708"/>
      <c r="AK41" s="708"/>
      <c r="AL41" s="708"/>
      <c r="AM41" s="708"/>
      <c r="AN41" s="708"/>
      <c r="AP41" s="332">
        <f t="shared" si="1"/>
        <v>0</v>
      </c>
      <c r="AQ41" s="302"/>
      <c r="AR41" s="302"/>
      <c r="AS41" s="302"/>
      <c r="AT41" s="302"/>
      <c r="AU41" s="639">
        <f>IF('obrazec 2'!A3="","",'obrazec 2'!A3)</f>
      </c>
      <c r="AV41" s="639"/>
      <c r="AW41" s="639"/>
      <c r="AX41" s="639"/>
      <c r="AY41" s="639"/>
      <c r="AZ41" s="639"/>
      <c r="BA41" s="639"/>
      <c r="BB41" s="639"/>
      <c r="BC41" s="639"/>
      <c r="BD41" s="639"/>
      <c r="BE41" s="639"/>
      <c r="BF41" s="639"/>
      <c r="BG41" s="639"/>
      <c r="BH41" s="639"/>
      <c r="BI41" s="639"/>
      <c r="BJ41" s="639"/>
      <c r="BN41" s="715">
        <f>IF('obrazec 1'!F6="","",'obrazec 1'!F6)</f>
      </c>
      <c r="BO41" s="715"/>
      <c r="BP41" s="715"/>
      <c r="BQ41" s="715"/>
      <c r="BR41" s="715"/>
      <c r="BS41" s="715"/>
      <c r="BT41" s="715"/>
      <c r="BU41" s="715"/>
      <c r="BV41" s="715"/>
      <c r="BW41" s="715"/>
      <c r="BX41" s="715"/>
      <c r="BY41" s="715"/>
      <c r="BZ41" s="715"/>
      <c r="CA41" s="715"/>
      <c r="CB41" s="715"/>
      <c r="CC41" s="715"/>
      <c r="CD41" s="715"/>
      <c r="CE41" s="715"/>
      <c r="CF41" s="302"/>
    </row>
    <row r="42" spans="1:84" ht="14.25">
      <c r="A42" s="302"/>
      <c r="B42" s="706">
        <v>4</v>
      </c>
      <c r="C42" s="706"/>
      <c r="D42" s="709" t="s">
        <v>42</v>
      </c>
      <c r="E42" s="709"/>
      <c r="F42" s="709"/>
      <c r="G42" s="709"/>
      <c r="H42" s="709"/>
      <c r="I42" s="709"/>
      <c r="J42" s="709"/>
      <c r="K42" s="332">
        <f t="shared" si="0"/>
        <v>0</v>
      </c>
      <c r="L42" s="305"/>
      <c r="M42" s="302"/>
      <c r="N42" s="706">
        <v>25</v>
      </c>
      <c r="O42" s="706"/>
      <c r="P42" s="709" t="s">
        <v>63</v>
      </c>
      <c r="Q42" s="709"/>
      <c r="R42" s="709"/>
      <c r="S42" s="709"/>
      <c r="T42" s="709"/>
      <c r="U42" s="709"/>
      <c r="V42" s="709"/>
      <c r="W42" s="709"/>
      <c r="X42" s="332">
        <f t="shared" si="2"/>
        <v>0</v>
      </c>
      <c r="Y42" s="305"/>
      <c r="Z42" s="302"/>
      <c r="AA42" s="706">
        <v>46</v>
      </c>
      <c r="AB42" s="706"/>
      <c r="AC42" s="708" t="s">
        <v>93</v>
      </c>
      <c r="AD42" s="708"/>
      <c r="AE42" s="708"/>
      <c r="AF42" s="708"/>
      <c r="AG42" s="708"/>
      <c r="AH42" s="708"/>
      <c r="AI42" s="708"/>
      <c r="AJ42" s="708"/>
      <c r="AK42" s="708"/>
      <c r="AL42" s="708"/>
      <c r="AM42" s="708"/>
      <c r="AN42" s="708"/>
      <c r="AP42" s="332">
        <f t="shared" si="1"/>
        <v>0</v>
      </c>
      <c r="AQ42" s="302"/>
      <c r="AR42" s="302"/>
      <c r="AS42" s="302"/>
      <c r="AT42" s="302"/>
      <c r="CF42" s="302"/>
    </row>
    <row r="43" spans="1:84" ht="14.25">
      <c r="A43" s="302"/>
      <c r="B43" s="706">
        <v>5</v>
      </c>
      <c r="C43" s="706"/>
      <c r="D43" s="709" t="s">
        <v>43</v>
      </c>
      <c r="E43" s="709"/>
      <c r="F43" s="709"/>
      <c r="G43" s="709"/>
      <c r="H43" s="709"/>
      <c r="I43" s="709"/>
      <c r="J43" s="709"/>
      <c r="K43" s="332">
        <f t="shared" si="0"/>
        <v>0</v>
      </c>
      <c r="L43" s="305"/>
      <c r="M43" s="302"/>
      <c r="N43" s="706">
        <v>26</v>
      </c>
      <c r="O43" s="706"/>
      <c r="P43" s="709" t="s">
        <v>64</v>
      </c>
      <c r="Q43" s="709"/>
      <c r="R43" s="709"/>
      <c r="S43" s="709"/>
      <c r="T43" s="709"/>
      <c r="U43" s="709"/>
      <c r="V43" s="709"/>
      <c r="W43" s="709"/>
      <c r="X43" s="332">
        <f t="shared" si="2"/>
        <v>0</v>
      </c>
      <c r="Y43" s="305"/>
      <c r="Z43" s="302"/>
      <c r="AA43" s="706">
        <v>47</v>
      </c>
      <c r="AB43" s="706"/>
      <c r="AC43" s="708" t="s">
        <v>160</v>
      </c>
      <c r="AD43" s="708"/>
      <c r="AE43" s="708"/>
      <c r="AF43" s="708"/>
      <c r="AG43" s="708"/>
      <c r="AH43" s="708"/>
      <c r="AI43" s="708"/>
      <c r="AJ43" s="708"/>
      <c r="AK43" s="708"/>
      <c r="AL43" s="708"/>
      <c r="AM43" s="708"/>
      <c r="AN43" s="708"/>
      <c r="AP43" s="332">
        <f t="shared" si="1"/>
        <v>0</v>
      </c>
      <c r="AQ43" s="302"/>
      <c r="AR43" s="302"/>
      <c r="AS43" s="302"/>
      <c r="AT43" s="302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302"/>
    </row>
    <row r="44" spans="1:84" ht="14.25">
      <c r="A44" s="302"/>
      <c r="B44" s="706">
        <v>6</v>
      </c>
      <c r="C44" s="706"/>
      <c r="D44" s="709" t="s">
        <v>44</v>
      </c>
      <c r="E44" s="709"/>
      <c r="F44" s="709"/>
      <c r="G44" s="709"/>
      <c r="H44" s="709"/>
      <c r="I44" s="709"/>
      <c r="J44" s="709"/>
      <c r="K44" s="332">
        <f t="shared" si="0"/>
        <v>0</v>
      </c>
      <c r="L44" s="305"/>
      <c r="M44" s="302"/>
      <c r="N44" s="706">
        <v>27</v>
      </c>
      <c r="O44" s="706"/>
      <c r="P44" s="709" t="s">
        <v>65</v>
      </c>
      <c r="Q44" s="709"/>
      <c r="R44" s="709"/>
      <c r="S44" s="709"/>
      <c r="T44" s="709"/>
      <c r="U44" s="709"/>
      <c r="V44" s="709"/>
      <c r="W44" s="709"/>
      <c r="X44" s="332">
        <f t="shared" si="2"/>
        <v>0</v>
      </c>
      <c r="Y44" s="305"/>
      <c r="Z44" s="302"/>
      <c r="AA44" s="706">
        <v>48</v>
      </c>
      <c r="AB44" s="706"/>
      <c r="AC44" s="708" t="s">
        <v>83</v>
      </c>
      <c r="AD44" s="708"/>
      <c r="AE44" s="708"/>
      <c r="AF44" s="708"/>
      <c r="AG44" s="708"/>
      <c r="AH44" s="708"/>
      <c r="AI44" s="708"/>
      <c r="AJ44" s="708"/>
      <c r="AK44" s="708"/>
      <c r="AL44" s="708"/>
      <c r="AM44" s="708"/>
      <c r="AN44" s="708"/>
      <c r="AP44" s="332">
        <f t="shared" si="1"/>
        <v>0</v>
      </c>
      <c r="AQ44" s="302"/>
      <c r="AR44" s="302"/>
      <c r="AS44" s="302"/>
      <c r="AT44" s="302"/>
      <c r="CF44" s="302"/>
    </row>
    <row r="45" spans="1:84" ht="14.25">
      <c r="A45" s="302"/>
      <c r="B45" s="706">
        <v>7</v>
      </c>
      <c r="C45" s="706"/>
      <c r="D45" s="709" t="s">
        <v>45</v>
      </c>
      <c r="E45" s="709"/>
      <c r="F45" s="709"/>
      <c r="G45" s="709"/>
      <c r="H45" s="709"/>
      <c r="I45" s="709"/>
      <c r="J45" s="709"/>
      <c r="K45" s="332">
        <f t="shared" si="0"/>
        <v>0</v>
      </c>
      <c r="L45" s="305"/>
      <c r="M45" s="302"/>
      <c r="N45" s="706">
        <v>28</v>
      </c>
      <c r="O45" s="706"/>
      <c r="P45" s="709" t="s">
        <v>66</v>
      </c>
      <c r="Q45" s="709"/>
      <c r="R45" s="709"/>
      <c r="S45" s="709"/>
      <c r="T45" s="709"/>
      <c r="U45" s="709"/>
      <c r="V45" s="709"/>
      <c r="W45" s="709"/>
      <c r="X45" s="332">
        <f t="shared" si="2"/>
        <v>0</v>
      </c>
      <c r="Y45" s="305"/>
      <c r="Z45" s="302"/>
      <c r="AA45" s="706">
        <v>49</v>
      </c>
      <c r="AB45" s="706"/>
      <c r="AC45" s="708" t="s">
        <v>84</v>
      </c>
      <c r="AD45" s="708"/>
      <c r="AE45" s="708"/>
      <c r="AF45" s="708"/>
      <c r="AG45" s="708"/>
      <c r="AH45" s="708"/>
      <c r="AI45" s="708"/>
      <c r="AJ45" s="708"/>
      <c r="AK45" s="708"/>
      <c r="AL45" s="708"/>
      <c r="AM45" s="708"/>
      <c r="AN45" s="708"/>
      <c r="AP45" s="332">
        <f t="shared" si="1"/>
        <v>0</v>
      </c>
      <c r="AQ45" s="302"/>
      <c r="AR45" s="302"/>
      <c r="AS45" s="302"/>
      <c r="AT45" s="302"/>
      <c r="AU45" s="717" t="s">
        <v>262</v>
      </c>
      <c r="AV45" s="717"/>
      <c r="AW45" s="717"/>
      <c r="AX45" s="717"/>
      <c r="AY45" s="717"/>
      <c r="AZ45" s="717"/>
      <c r="BA45" s="717"/>
      <c r="BB45" s="717"/>
      <c r="BC45" s="717"/>
      <c r="BD45" s="717"/>
      <c r="BE45" s="717"/>
      <c r="BF45" s="717"/>
      <c r="BG45" s="717"/>
      <c r="BH45" s="717"/>
      <c r="BI45" s="717"/>
      <c r="BJ45" s="717"/>
      <c r="BK45" s="192"/>
      <c r="BL45" s="192"/>
      <c r="BM45" s="192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 s="302"/>
    </row>
    <row r="46" spans="1:84" ht="14.25">
      <c r="A46" s="302"/>
      <c r="B46" s="706">
        <v>8</v>
      </c>
      <c r="C46" s="706"/>
      <c r="D46" s="709" t="s">
        <v>46</v>
      </c>
      <c r="E46" s="709"/>
      <c r="F46" s="709"/>
      <c r="G46" s="709"/>
      <c r="H46" s="709"/>
      <c r="I46" s="709"/>
      <c r="J46" s="709"/>
      <c r="K46" s="332">
        <f t="shared" si="0"/>
        <v>0</v>
      </c>
      <c r="L46" s="305"/>
      <c r="M46" s="302"/>
      <c r="N46" s="706">
        <v>29</v>
      </c>
      <c r="O46" s="706"/>
      <c r="P46" s="709" t="s">
        <v>67</v>
      </c>
      <c r="Q46" s="709"/>
      <c r="R46" s="709"/>
      <c r="S46" s="709"/>
      <c r="T46" s="709"/>
      <c r="U46" s="709"/>
      <c r="V46" s="709"/>
      <c r="W46" s="709"/>
      <c r="X46" s="332">
        <f t="shared" si="2"/>
        <v>0</v>
      </c>
      <c r="Y46" s="305"/>
      <c r="Z46" s="302"/>
      <c r="AA46" s="706">
        <v>50</v>
      </c>
      <c r="AB46" s="706"/>
      <c r="AC46" s="708" t="s">
        <v>85</v>
      </c>
      <c r="AD46" s="708"/>
      <c r="AE46" s="708"/>
      <c r="AF46" s="708"/>
      <c r="AG46" s="708"/>
      <c r="AH46" s="708"/>
      <c r="AI46" s="708"/>
      <c r="AJ46" s="708"/>
      <c r="AK46" s="708"/>
      <c r="AL46" s="708"/>
      <c r="AM46" s="708"/>
      <c r="AN46" s="708"/>
      <c r="AP46" s="332">
        <f t="shared" si="1"/>
        <v>0</v>
      </c>
      <c r="AQ46" s="302"/>
      <c r="AR46" s="302"/>
      <c r="AS46" s="302"/>
      <c r="AT46" s="302"/>
      <c r="AU46" s="712">
        <f>IF('obrazec 1'!F4="","",'obrazec 1'!F12)</f>
      </c>
      <c r="AV46" s="712"/>
      <c r="AW46" s="712"/>
      <c r="AX46" s="712"/>
      <c r="AY46" s="712"/>
      <c r="AZ46" s="712"/>
      <c r="BA46" s="712"/>
      <c r="BB46" s="712"/>
      <c r="BC46" s="712"/>
      <c r="BD46" s="712"/>
      <c r="BE46" s="712"/>
      <c r="BF46" s="712"/>
      <c r="BG46" s="712"/>
      <c r="BH46" s="712"/>
      <c r="BI46" s="712"/>
      <c r="BJ46" s="712"/>
      <c r="BK46" s="118"/>
      <c r="BL46" s="118"/>
      <c r="BM46" s="118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 s="302"/>
    </row>
    <row r="47" spans="1:84" ht="14.25">
      <c r="A47" s="302"/>
      <c r="B47" s="706">
        <v>9</v>
      </c>
      <c r="C47" s="706"/>
      <c r="D47" s="709" t="s">
        <v>47</v>
      </c>
      <c r="E47" s="709"/>
      <c r="F47" s="709"/>
      <c r="G47" s="709"/>
      <c r="H47" s="709"/>
      <c r="I47" s="709"/>
      <c r="J47" s="709"/>
      <c r="K47" s="332">
        <f t="shared" si="0"/>
        <v>0</v>
      </c>
      <c r="L47" s="305"/>
      <c r="M47" s="302"/>
      <c r="N47" s="706">
        <v>30</v>
      </c>
      <c r="O47" s="706"/>
      <c r="P47" s="709" t="s">
        <v>68</v>
      </c>
      <c r="Q47" s="709"/>
      <c r="R47" s="709"/>
      <c r="S47" s="709"/>
      <c r="T47" s="709"/>
      <c r="U47" s="709"/>
      <c r="V47" s="709"/>
      <c r="W47" s="709"/>
      <c r="X47" s="332">
        <f t="shared" si="2"/>
        <v>0</v>
      </c>
      <c r="Y47" s="305"/>
      <c r="Z47" s="302"/>
      <c r="AA47" s="766">
        <v>51</v>
      </c>
      <c r="AB47" s="766"/>
      <c r="AC47" s="708" t="s">
        <v>86</v>
      </c>
      <c r="AD47" s="708"/>
      <c r="AE47" s="708"/>
      <c r="AF47" s="708"/>
      <c r="AG47" s="708"/>
      <c r="AH47" s="708"/>
      <c r="AI47" s="708"/>
      <c r="AJ47" s="708"/>
      <c r="AK47" s="708"/>
      <c r="AL47" s="708"/>
      <c r="AM47" s="708"/>
      <c r="AN47" s="708"/>
      <c r="AP47" s="332">
        <f t="shared" si="1"/>
        <v>0</v>
      </c>
      <c r="AQ47" s="302"/>
      <c r="AR47" s="302"/>
      <c r="AS47" s="302"/>
      <c r="AT47" s="302"/>
      <c r="AU47" s="639">
        <f>IF('obrazec 1'!F4="","",'obrazec 1'!F14)</f>
      </c>
      <c r="AV47" s="639"/>
      <c r="AW47" s="639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39"/>
      <c r="BJ47" s="639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 s="302"/>
    </row>
    <row r="48" spans="1:84" ht="14.25">
      <c r="A48" s="302"/>
      <c r="B48" s="706">
        <v>10</v>
      </c>
      <c r="C48" s="706"/>
      <c r="D48" s="709" t="s">
        <v>48</v>
      </c>
      <c r="E48" s="709"/>
      <c r="F48" s="709"/>
      <c r="G48" s="709"/>
      <c r="H48" s="709"/>
      <c r="I48" s="709"/>
      <c r="J48" s="709"/>
      <c r="K48" s="332">
        <f t="shared" si="0"/>
        <v>0</v>
      </c>
      <c r="L48" s="305"/>
      <c r="M48" s="302"/>
      <c r="N48" s="706">
        <v>31</v>
      </c>
      <c r="O48" s="706"/>
      <c r="P48" s="709" t="s">
        <v>69</v>
      </c>
      <c r="Q48" s="709"/>
      <c r="R48" s="709"/>
      <c r="S48" s="709"/>
      <c r="T48" s="709"/>
      <c r="U48" s="709"/>
      <c r="V48" s="709"/>
      <c r="W48" s="709"/>
      <c r="X48" s="332">
        <f t="shared" si="2"/>
        <v>0</v>
      </c>
      <c r="Y48" s="305"/>
      <c r="Z48" s="302"/>
      <c r="AA48" s="706">
        <v>52</v>
      </c>
      <c r="AB48" s="706"/>
      <c r="AC48" s="708" t="s">
        <v>87</v>
      </c>
      <c r="AD48" s="708"/>
      <c r="AE48" s="708"/>
      <c r="AF48" s="708"/>
      <c r="AG48" s="708"/>
      <c r="AH48" s="708"/>
      <c r="AI48" s="708"/>
      <c r="AJ48" s="708"/>
      <c r="AK48" s="708"/>
      <c r="AL48" s="708"/>
      <c r="AM48" s="708"/>
      <c r="AN48" s="708"/>
      <c r="AP48" s="332">
        <f t="shared" si="1"/>
        <v>0</v>
      </c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</row>
    <row r="49" spans="1:84" ht="14.25">
      <c r="A49" s="302"/>
      <c r="B49" s="706">
        <v>11</v>
      </c>
      <c r="C49" s="706"/>
      <c r="D49" s="709" t="s">
        <v>49</v>
      </c>
      <c r="E49" s="709"/>
      <c r="F49" s="709"/>
      <c r="G49" s="709"/>
      <c r="H49" s="709"/>
      <c r="I49" s="709"/>
      <c r="J49" s="709"/>
      <c r="K49" s="332">
        <f t="shared" si="0"/>
        <v>0</v>
      </c>
      <c r="L49" s="305"/>
      <c r="M49" s="302"/>
      <c r="N49" s="706">
        <v>32</v>
      </c>
      <c r="O49" s="706"/>
      <c r="P49" s="709" t="s">
        <v>70</v>
      </c>
      <c r="Q49" s="709"/>
      <c r="R49" s="709"/>
      <c r="S49" s="709"/>
      <c r="T49" s="709"/>
      <c r="U49" s="709"/>
      <c r="V49" s="709"/>
      <c r="W49" s="709"/>
      <c r="X49" s="332">
        <f t="shared" si="2"/>
        <v>0</v>
      </c>
      <c r="Y49" s="305"/>
      <c r="Z49" s="302"/>
      <c r="AA49" s="706">
        <v>53</v>
      </c>
      <c r="AB49" s="706"/>
      <c r="AC49" s="708" t="s">
        <v>88</v>
      </c>
      <c r="AD49" s="708"/>
      <c r="AE49" s="708"/>
      <c r="AF49" s="708"/>
      <c r="AG49" s="708"/>
      <c r="AH49" s="708"/>
      <c r="AI49" s="708"/>
      <c r="AJ49" s="708"/>
      <c r="AK49" s="708"/>
      <c r="AL49" s="708"/>
      <c r="AM49" s="708"/>
      <c r="AN49" s="708"/>
      <c r="AP49" s="332">
        <f t="shared" si="1"/>
        <v>0</v>
      </c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</row>
    <row r="50" spans="1:84" ht="14.25">
      <c r="A50" s="302"/>
      <c r="B50" s="706">
        <v>12</v>
      </c>
      <c r="C50" s="706"/>
      <c r="D50" s="709" t="s">
        <v>50</v>
      </c>
      <c r="E50" s="709"/>
      <c r="F50" s="709"/>
      <c r="G50" s="709"/>
      <c r="H50" s="709"/>
      <c r="I50" s="709"/>
      <c r="J50" s="709"/>
      <c r="K50" s="332">
        <f t="shared" si="0"/>
        <v>0</v>
      </c>
      <c r="L50" s="305"/>
      <c r="M50" s="302"/>
      <c r="N50" s="706">
        <v>33</v>
      </c>
      <c r="O50" s="706"/>
      <c r="P50" s="709" t="s">
        <v>71</v>
      </c>
      <c r="Q50" s="709"/>
      <c r="R50" s="709"/>
      <c r="S50" s="709"/>
      <c r="T50" s="709"/>
      <c r="U50" s="709"/>
      <c r="V50" s="709"/>
      <c r="W50" s="709"/>
      <c r="X50" s="332">
        <f t="shared" si="2"/>
        <v>0</v>
      </c>
      <c r="Y50" s="305"/>
      <c r="Z50" s="302"/>
      <c r="AA50" s="706">
        <v>54</v>
      </c>
      <c r="AB50" s="706"/>
      <c r="AC50" s="708" t="s">
        <v>89</v>
      </c>
      <c r="AD50" s="708"/>
      <c r="AE50" s="708"/>
      <c r="AF50" s="708"/>
      <c r="AG50" s="708"/>
      <c r="AH50" s="708"/>
      <c r="AI50" s="708"/>
      <c r="AJ50" s="708"/>
      <c r="AK50" s="708"/>
      <c r="AL50" s="708"/>
      <c r="AM50" s="708"/>
      <c r="AN50" s="708"/>
      <c r="AP50" s="332">
        <f t="shared" si="1"/>
        <v>0</v>
      </c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</row>
    <row r="51" spans="1:84" ht="14.25">
      <c r="A51" s="302"/>
      <c r="B51" s="706">
        <v>13</v>
      </c>
      <c r="C51" s="706"/>
      <c r="D51" s="709" t="s">
        <v>51</v>
      </c>
      <c r="E51" s="709"/>
      <c r="F51" s="709"/>
      <c r="G51" s="709"/>
      <c r="H51" s="709"/>
      <c r="I51" s="709"/>
      <c r="J51" s="709"/>
      <c r="K51" s="332">
        <f t="shared" si="0"/>
        <v>0</v>
      </c>
      <c r="L51" s="305"/>
      <c r="M51" s="302"/>
      <c r="N51" s="706">
        <v>34</v>
      </c>
      <c r="O51" s="706"/>
      <c r="P51" s="709" t="s">
        <v>72</v>
      </c>
      <c r="Q51" s="709"/>
      <c r="R51" s="709"/>
      <c r="S51" s="709"/>
      <c r="T51" s="709"/>
      <c r="U51" s="709"/>
      <c r="V51" s="709"/>
      <c r="W51" s="709"/>
      <c r="X51" s="332">
        <f t="shared" si="2"/>
        <v>0</v>
      </c>
      <c r="Y51" s="305"/>
      <c r="Z51" s="302"/>
      <c r="AA51" s="706">
        <v>55</v>
      </c>
      <c r="AB51" s="706"/>
      <c r="AC51" s="708" t="s">
        <v>90</v>
      </c>
      <c r="AD51" s="708"/>
      <c r="AE51" s="708"/>
      <c r="AF51" s="708"/>
      <c r="AG51" s="708"/>
      <c r="AH51" s="708"/>
      <c r="AI51" s="708"/>
      <c r="AJ51" s="708"/>
      <c r="AK51" s="708"/>
      <c r="AL51" s="708"/>
      <c r="AM51" s="708"/>
      <c r="AN51" s="708"/>
      <c r="AP51" s="332">
        <f t="shared" si="1"/>
        <v>0</v>
      </c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</row>
    <row r="52" spans="1:84" ht="14.25">
      <c r="A52" s="302"/>
      <c r="B52" s="706">
        <v>14</v>
      </c>
      <c r="C52" s="706"/>
      <c r="D52" s="709" t="s">
        <v>52</v>
      </c>
      <c r="E52" s="709"/>
      <c r="F52" s="709"/>
      <c r="G52" s="709"/>
      <c r="H52" s="709"/>
      <c r="I52" s="709"/>
      <c r="J52" s="709"/>
      <c r="K52" s="332">
        <f t="shared" si="0"/>
        <v>0</v>
      </c>
      <c r="L52" s="305"/>
      <c r="M52" s="302"/>
      <c r="N52" s="706">
        <v>35</v>
      </c>
      <c r="O52" s="706"/>
      <c r="P52" s="709" t="s">
        <v>73</v>
      </c>
      <c r="Q52" s="709"/>
      <c r="R52" s="709"/>
      <c r="S52" s="709"/>
      <c r="T52" s="709"/>
      <c r="U52" s="709"/>
      <c r="V52" s="709"/>
      <c r="W52" s="709"/>
      <c r="X52" s="332">
        <f t="shared" si="2"/>
        <v>0</v>
      </c>
      <c r="Y52" s="305"/>
      <c r="Z52" s="302"/>
      <c r="AA52" s="706">
        <v>56</v>
      </c>
      <c r="AB52" s="706"/>
      <c r="AC52" s="708" t="s">
        <v>91</v>
      </c>
      <c r="AD52" s="708"/>
      <c r="AE52" s="708"/>
      <c r="AF52" s="708"/>
      <c r="AG52" s="708"/>
      <c r="AH52" s="708"/>
      <c r="AI52" s="708"/>
      <c r="AJ52" s="708"/>
      <c r="AK52" s="708"/>
      <c r="AL52" s="708"/>
      <c r="AM52" s="708"/>
      <c r="AN52" s="708"/>
      <c r="AP52" s="332">
        <f t="shared" si="1"/>
        <v>0</v>
      </c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</row>
    <row r="53" spans="1:84" ht="14.25">
      <c r="A53" s="302"/>
      <c r="B53" s="706">
        <v>15</v>
      </c>
      <c r="C53" s="706"/>
      <c r="D53" s="709" t="s">
        <v>53</v>
      </c>
      <c r="E53" s="709"/>
      <c r="F53" s="709"/>
      <c r="G53" s="709"/>
      <c r="H53" s="709"/>
      <c r="I53" s="709"/>
      <c r="J53" s="709"/>
      <c r="K53" s="332">
        <f t="shared" si="0"/>
        <v>0</v>
      </c>
      <c r="L53" s="305"/>
      <c r="M53" s="302"/>
      <c r="N53" s="706">
        <v>36</v>
      </c>
      <c r="O53" s="706"/>
      <c r="P53" s="709" t="s">
        <v>74</v>
      </c>
      <c r="Q53" s="709"/>
      <c r="R53" s="709"/>
      <c r="S53" s="709"/>
      <c r="T53" s="709"/>
      <c r="U53" s="709"/>
      <c r="V53" s="709"/>
      <c r="W53" s="709"/>
      <c r="X53" s="332">
        <f t="shared" si="2"/>
        <v>0</v>
      </c>
      <c r="Y53" s="305"/>
      <c r="Z53" s="302"/>
      <c r="AA53" s="706">
        <v>57</v>
      </c>
      <c r="AB53" s="706"/>
      <c r="AC53" s="708" t="s">
        <v>92</v>
      </c>
      <c r="AD53" s="708"/>
      <c r="AE53" s="708"/>
      <c r="AF53" s="708"/>
      <c r="AG53" s="708"/>
      <c r="AH53" s="708"/>
      <c r="AI53" s="708"/>
      <c r="AJ53" s="708"/>
      <c r="AK53" s="708"/>
      <c r="AL53" s="708"/>
      <c r="AM53" s="708"/>
      <c r="AN53" s="708"/>
      <c r="AP53" s="332">
        <f t="shared" si="1"/>
        <v>0</v>
      </c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</row>
    <row r="54" spans="1:84" ht="14.25">
      <c r="A54" s="302"/>
      <c r="B54" s="706">
        <v>16</v>
      </c>
      <c r="C54" s="706"/>
      <c r="D54" s="709" t="s">
        <v>54</v>
      </c>
      <c r="E54" s="709"/>
      <c r="F54" s="709"/>
      <c r="G54" s="709"/>
      <c r="H54" s="709"/>
      <c r="I54" s="709"/>
      <c r="J54" s="709"/>
      <c r="K54" s="332">
        <f t="shared" si="0"/>
        <v>0</v>
      </c>
      <c r="L54" s="305"/>
      <c r="M54" s="302"/>
      <c r="N54" s="706">
        <v>37</v>
      </c>
      <c r="O54" s="706"/>
      <c r="P54" s="709" t="s">
        <v>75</v>
      </c>
      <c r="Q54" s="709"/>
      <c r="R54" s="709"/>
      <c r="S54" s="709"/>
      <c r="T54" s="709"/>
      <c r="U54" s="709"/>
      <c r="V54" s="709"/>
      <c r="W54" s="709"/>
      <c r="X54" s="332">
        <f t="shared" si="2"/>
        <v>0</v>
      </c>
      <c r="Y54" s="305"/>
      <c r="Z54" s="302"/>
      <c r="AA54" s="706">
        <v>58</v>
      </c>
      <c r="AB54" s="706"/>
      <c r="AC54" s="765"/>
      <c r="AD54" s="765"/>
      <c r="AE54" s="765"/>
      <c r="AF54" s="765"/>
      <c r="AG54" s="765"/>
      <c r="AH54" s="765"/>
      <c r="AI54" s="765"/>
      <c r="AJ54" s="765"/>
      <c r="AK54" s="765"/>
      <c r="AL54" s="765"/>
      <c r="AM54" s="765"/>
      <c r="AN54" s="765"/>
      <c r="AP54" s="332">
        <f t="shared" si="1"/>
        <v>0</v>
      </c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</row>
    <row r="55" spans="1:84" ht="14.25">
      <c r="A55" s="302"/>
      <c r="B55" s="706">
        <v>17</v>
      </c>
      <c r="C55" s="706"/>
      <c r="D55" s="709" t="s">
        <v>55</v>
      </c>
      <c r="E55" s="709"/>
      <c r="F55" s="709"/>
      <c r="G55" s="709"/>
      <c r="H55" s="709"/>
      <c r="I55" s="709"/>
      <c r="J55" s="709"/>
      <c r="K55" s="332">
        <f t="shared" si="0"/>
        <v>0</v>
      </c>
      <c r="L55" s="305"/>
      <c r="M55" s="302"/>
      <c r="N55" s="706">
        <v>38</v>
      </c>
      <c r="O55" s="706"/>
      <c r="P55" s="709" t="s">
        <v>76</v>
      </c>
      <c r="Q55" s="709"/>
      <c r="R55" s="709"/>
      <c r="S55" s="709"/>
      <c r="T55" s="709"/>
      <c r="U55" s="709"/>
      <c r="V55" s="709"/>
      <c r="W55" s="709"/>
      <c r="X55" s="332">
        <f t="shared" si="2"/>
        <v>0</v>
      </c>
      <c r="Y55" s="305"/>
      <c r="Z55" s="302"/>
      <c r="AA55" s="706">
        <v>59</v>
      </c>
      <c r="AB55" s="706"/>
      <c r="AC55" s="760"/>
      <c r="AD55" s="760"/>
      <c r="AE55" s="760"/>
      <c r="AF55" s="760"/>
      <c r="AG55" s="760"/>
      <c r="AH55" s="760"/>
      <c r="AI55" s="760"/>
      <c r="AJ55" s="760"/>
      <c r="AK55" s="760"/>
      <c r="AL55" s="760"/>
      <c r="AM55" s="760"/>
      <c r="AN55" s="760"/>
      <c r="AP55" s="332">
        <f t="shared" si="1"/>
        <v>0</v>
      </c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</row>
    <row r="56" spans="1:84" ht="14.25">
      <c r="A56" s="302"/>
      <c r="B56" s="706">
        <v>18</v>
      </c>
      <c r="C56" s="706"/>
      <c r="D56" s="709" t="s">
        <v>56</v>
      </c>
      <c r="E56" s="709"/>
      <c r="F56" s="709"/>
      <c r="G56" s="709"/>
      <c r="H56" s="709"/>
      <c r="I56" s="709"/>
      <c r="J56" s="709"/>
      <c r="K56" s="332">
        <f t="shared" si="0"/>
        <v>0</v>
      </c>
      <c r="L56" s="305"/>
      <c r="M56" s="302"/>
      <c r="N56" s="706">
        <v>39</v>
      </c>
      <c r="O56" s="706"/>
      <c r="P56" s="709" t="s">
        <v>77</v>
      </c>
      <c r="Q56" s="709"/>
      <c r="R56" s="709"/>
      <c r="S56" s="709"/>
      <c r="T56" s="709"/>
      <c r="U56" s="709"/>
      <c r="V56" s="709"/>
      <c r="W56" s="709"/>
      <c r="X56" s="332">
        <f t="shared" si="2"/>
        <v>0</v>
      </c>
      <c r="Y56" s="305"/>
      <c r="Z56" s="302"/>
      <c r="AA56" s="706">
        <v>60</v>
      </c>
      <c r="AB56" s="706"/>
      <c r="AC56" s="760"/>
      <c r="AD56" s="760"/>
      <c r="AE56" s="760"/>
      <c r="AF56" s="760"/>
      <c r="AG56" s="760"/>
      <c r="AH56" s="760"/>
      <c r="AI56" s="760"/>
      <c r="AJ56" s="760"/>
      <c r="AK56" s="760"/>
      <c r="AL56" s="760"/>
      <c r="AM56" s="760"/>
      <c r="AN56" s="760"/>
      <c r="AP56" s="332">
        <f t="shared" si="1"/>
        <v>0</v>
      </c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</row>
    <row r="57" spans="1:84" ht="14.25">
      <c r="A57" s="302"/>
      <c r="B57" s="706">
        <v>19</v>
      </c>
      <c r="C57" s="706"/>
      <c r="D57" s="709" t="s">
        <v>57</v>
      </c>
      <c r="E57" s="709"/>
      <c r="F57" s="709"/>
      <c r="G57" s="709"/>
      <c r="H57" s="709"/>
      <c r="I57" s="709"/>
      <c r="J57" s="709"/>
      <c r="K57" s="332">
        <f t="shared" si="0"/>
        <v>0</v>
      </c>
      <c r="L57" s="305"/>
      <c r="M57" s="302"/>
      <c r="N57" s="706">
        <v>40</v>
      </c>
      <c r="O57" s="706"/>
      <c r="P57" s="709" t="s">
        <v>78</v>
      </c>
      <c r="Q57" s="709"/>
      <c r="R57" s="709"/>
      <c r="S57" s="709"/>
      <c r="T57" s="709"/>
      <c r="U57" s="709"/>
      <c r="V57" s="709"/>
      <c r="W57" s="709"/>
      <c r="X57" s="332">
        <f t="shared" si="2"/>
        <v>0</v>
      </c>
      <c r="Y57" s="305"/>
      <c r="Z57" s="302"/>
      <c r="AA57" s="706">
        <v>61</v>
      </c>
      <c r="AB57" s="706"/>
      <c r="AC57" s="714" t="s">
        <v>290</v>
      </c>
      <c r="AD57" s="714"/>
      <c r="AE57" s="714"/>
      <c r="AF57" s="714"/>
      <c r="AG57" s="714"/>
      <c r="AH57" s="714"/>
      <c r="AI57" s="714"/>
      <c r="AJ57" s="714"/>
      <c r="AK57" s="714"/>
      <c r="AL57" s="714"/>
      <c r="AM57" s="714"/>
      <c r="AN57" s="714"/>
      <c r="AP57" s="332">
        <f t="shared" si="1"/>
        <v>0</v>
      </c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</row>
    <row r="58" spans="1:84" ht="14.25">
      <c r="A58" s="302"/>
      <c r="B58" s="706">
        <v>20</v>
      </c>
      <c r="C58" s="706"/>
      <c r="D58" s="709" t="s">
        <v>58</v>
      </c>
      <c r="E58" s="709"/>
      <c r="F58" s="709"/>
      <c r="G58" s="709"/>
      <c r="H58" s="709"/>
      <c r="I58" s="709"/>
      <c r="J58" s="709"/>
      <c r="K58" s="332">
        <f t="shared" si="0"/>
        <v>0</v>
      </c>
      <c r="L58" s="305"/>
      <c r="M58" s="302"/>
      <c r="N58" s="706">
        <v>41</v>
      </c>
      <c r="O58" s="706"/>
      <c r="P58" s="709" t="s">
        <v>79</v>
      </c>
      <c r="Q58" s="709"/>
      <c r="R58" s="709"/>
      <c r="S58" s="709"/>
      <c r="T58" s="709"/>
      <c r="U58" s="709"/>
      <c r="V58" s="709"/>
      <c r="W58" s="709"/>
      <c r="X58" s="332">
        <f t="shared" si="2"/>
        <v>0</v>
      </c>
      <c r="Y58" s="305"/>
      <c r="Z58" s="302"/>
      <c r="AA58" s="706">
        <v>62</v>
      </c>
      <c r="AB58" s="706"/>
      <c r="AC58" s="714" t="s">
        <v>309</v>
      </c>
      <c r="AD58" s="714"/>
      <c r="AE58" s="714"/>
      <c r="AF58" s="714"/>
      <c r="AG58" s="714"/>
      <c r="AH58" s="714"/>
      <c r="AI58" s="714"/>
      <c r="AJ58" s="714"/>
      <c r="AK58" s="714"/>
      <c r="AL58" s="714"/>
      <c r="AM58" s="714"/>
      <c r="AN58" s="714"/>
      <c r="AP58" s="332">
        <f t="shared" si="1"/>
        <v>0</v>
      </c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</row>
    <row r="59" spans="1:84" ht="14.25">
      <c r="A59" s="302"/>
      <c r="B59" s="706">
        <v>21</v>
      </c>
      <c r="C59" s="706"/>
      <c r="D59" s="709" t="s">
        <v>59</v>
      </c>
      <c r="E59" s="709"/>
      <c r="F59" s="709"/>
      <c r="G59" s="709"/>
      <c r="H59" s="709"/>
      <c r="I59" s="709"/>
      <c r="J59" s="709"/>
      <c r="K59" s="332">
        <f t="shared" si="0"/>
        <v>0</v>
      </c>
      <c r="L59" s="305"/>
      <c r="M59" s="302"/>
      <c r="N59" s="706">
        <v>42</v>
      </c>
      <c r="O59" s="706"/>
      <c r="P59" s="709" t="s">
        <v>94</v>
      </c>
      <c r="Q59" s="709"/>
      <c r="R59" s="709"/>
      <c r="S59" s="709"/>
      <c r="T59" s="709"/>
      <c r="U59" s="709"/>
      <c r="V59" s="709"/>
      <c r="W59" s="709"/>
      <c r="X59" s="332">
        <f t="shared" si="2"/>
        <v>0</v>
      </c>
      <c r="Y59" s="305"/>
      <c r="Z59" s="302"/>
      <c r="AA59" s="706">
        <v>63</v>
      </c>
      <c r="AB59" s="706"/>
      <c r="AC59" s="714" t="s">
        <v>322</v>
      </c>
      <c r="AD59" s="714"/>
      <c r="AE59" s="714"/>
      <c r="AF59" s="714"/>
      <c r="AG59" s="714"/>
      <c r="AH59" s="714"/>
      <c r="AI59" s="714"/>
      <c r="AJ59" s="714"/>
      <c r="AK59" s="714"/>
      <c r="AL59" s="714"/>
      <c r="AM59" s="714"/>
      <c r="AN59" s="714"/>
      <c r="AP59" s="332">
        <f t="shared" si="1"/>
        <v>0</v>
      </c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</row>
    <row r="60" spans="1:84" ht="14.2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333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333"/>
      <c r="Y60" s="125"/>
      <c r="Z60" s="125"/>
      <c r="AA60" s="125"/>
      <c r="AB60" s="125"/>
      <c r="AC60" s="718" t="s">
        <v>292</v>
      </c>
      <c r="AD60" s="718"/>
      <c r="AE60" s="718"/>
      <c r="AF60" s="718"/>
      <c r="AG60" s="718"/>
      <c r="AH60" s="718"/>
      <c r="AI60" s="718"/>
      <c r="AJ60" s="718"/>
      <c r="AK60" s="718"/>
      <c r="AL60" s="718"/>
      <c r="AM60" s="718"/>
      <c r="AN60" s="718"/>
      <c r="AO60" s="125"/>
      <c r="AP60" s="333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</row>
    <row r="61" spans="1:84" ht="14.2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334">
        <f>COUNTIF($K$39:$L$59,"&gt;0")</f>
        <v>0</v>
      </c>
      <c r="L61" s="302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334">
        <f>COUNTIF($X$39:$X$59,"&gt;0")</f>
        <v>0</v>
      </c>
      <c r="Y61" s="302"/>
      <c r="Z61" s="125"/>
      <c r="AA61" s="125"/>
      <c r="AB61" s="125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P61" s="334">
        <f>COUNTIF($AP$39:$AP$59,"&gt;0")</f>
        <v>0</v>
      </c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</row>
    <row r="62" spans="1:84" ht="14.25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</row>
  </sheetData>
  <sheetProtection password="C86A" sheet="1" objects="1" scenarios="1" selectLockedCells="1"/>
  <mergeCells count="253">
    <mergeCell ref="B8:J8"/>
    <mergeCell ref="K8:S8"/>
    <mergeCell ref="T8:AB8"/>
    <mergeCell ref="B7:J7"/>
    <mergeCell ref="K7:S7"/>
    <mergeCell ref="T7:AB7"/>
    <mergeCell ref="AC7:AK7"/>
    <mergeCell ref="AL7:AT7"/>
    <mergeCell ref="AU7:BC7"/>
    <mergeCell ref="AC8:AK8"/>
    <mergeCell ref="AL8:AT8"/>
    <mergeCell ref="AU8:BC8"/>
    <mergeCell ref="BM7:BU7"/>
    <mergeCell ref="BV7:CD7"/>
    <mergeCell ref="CE7:CM7"/>
    <mergeCell ref="BD7:BL7"/>
    <mergeCell ref="BD8:BL8"/>
    <mergeCell ref="BM8:BU8"/>
    <mergeCell ref="BV8:CD8"/>
    <mergeCell ref="CE8:CM8"/>
    <mergeCell ref="B9:J9"/>
    <mergeCell ref="K9:S9"/>
    <mergeCell ref="T9:AB9"/>
    <mergeCell ref="AC9:AK9"/>
    <mergeCell ref="AL9:AT9"/>
    <mergeCell ref="AU9:BC9"/>
    <mergeCell ref="BM23:BU23"/>
    <mergeCell ref="B15:J15"/>
    <mergeCell ref="K15:S15"/>
    <mergeCell ref="T15:AB15"/>
    <mergeCell ref="AC15:AK15"/>
    <mergeCell ref="AL15:AT15"/>
    <mergeCell ref="AU23:BC23"/>
    <mergeCell ref="AC23:AK23"/>
    <mergeCell ref="K17:S17"/>
    <mergeCell ref="AU10:BC10"/>
    <mergeCell ref="B44:C44"/>
    <mergeCell ref="AC13:AK13"/>
    <mergeCell ref="AL13:AT13"/>
    <mergeCell ref="B13:J13"/>
    <mergeCell ref="K13:S13"/>
    <mergeCell ref="AL11:AT11"/>
    <mergeCell ref="AU11:BC11"/>
    <mergeCell ref="AL12:AT12"/>
    <mergeCell ref="AL14:AT14"/>
    <mergeCell ref="BV23:CD23"/>
    <mergeCell ref="B14:J14"/>
    <mergeCell ref="K14:S14"/>
    <mergeCell ref="T14:AB14"/>
    <mergeCell ref="AC14:AK14"/>
    <mergeCell ref="T16:AB16"/>
    <mergeCell ref="AC16:AK16"/>
    <mergeCell ref="AL16:AT16"/>
    <mergeCell ref="K19:S19"/>
    <mergeCell ref="T17:AB17"/>
    <mergeCell ref="CE9:CM9"/>
    <mergeCell ref="B10:J10"/>
    <mergeCell ref="K10:S10"/>
    <mergeCell ref="T10:AB10"/>
    <mergeCell ref="AC10:AK10"/>
    <mergeCell ref="AL10:AT10"/>
    <mergeCell ref="BD10:BL10"/>
    <mergeCell ref="BD9:BL9"/>
    <mergeCell ref="BM9:BU9"/>
    <mergeCell ref="BV9:CD9"/>
    <mergeCell ref="AU28:CM35"/>
    <mergeCell ref="B12:J12"/>
    <mergeCell ref="K12:S12"/>
    <mergeCell ref="T12:AB12"/>
    <mergeCell ref="BD23:BL23"/>
    <mergeCell ref="B16:J16"/>
    <mergeCell ref="K16:S16"/>
    <mergeCell ref="T13:AB13"/>
    <mergeCell ref="CE23:CM23"/>
    <mergeCell ref="B19:J19"/>
    <mergeCell ref="BM10:BU10"/>
    <mergeCell ref="BV10:CD10"/>
    <mergeCell ref="CE10:CM10"/>
    <mergeCell ref="B11:J11"/>
    <mergeCell ref="K11:S11"/>
    <mergeCell ref="T11:AB11"/>
    <mergeCell ref="BV11:CD11"/>
    <mergeCell ref="CE11:CM11"/>
    <mergeCell ref="BD11:BL11"/>
    <mergeCell ref="AC11:AK11"/>
    <mergeCell ref="B45:C45"/>
    <mergeCell ref="B46:C46"/>
    <mergeCell ref="B47:C47"/>
    <mergeCell ref="B48:C48"/>
    <mergeCell ref="T19:AB19"/>
    <mergeCell ref="AC19:AK19"/>
    <mergeCell ref="D44:J44"/>
    <mergeCell ref="D45:J45"/>
    <mergeCell ref="D46:J46"/>
    <mergeCell ref="N38:O38"/>
    <mergeCell ref="BM11:BU11"/>
    <mergeCell ref="B17:J17"/>
    <mergeCell ref="K18:S18"/>
    <mergeCell ref="T18:AB18"/>
    <mergeCell ref="AC18:AK18"/>
    <mergeCell ref="AC17:AK17"/>
    <mergeCell ref="AL17:AT17"/>
    <mergeCell ref="AC12:AK12"/>
    <mergeCell ref="CE20:CM20"/>
    <mergeCell ref="AL23:AT23"/>
    <mergeCell ref="AL18:AT18"/>
    <mergeCell ref="B20:CD20"/>
    <mergeCell ref="AL19:AT19"/>
    <mergeCell ref="AU12:CM19"/>
    <mergeCell ref="B18:J18"/>
    <mergeCell ref="B23:J23"/>
    <mergeCell ref="K23:S23"/>
    <mergeCell ref="T23:AB23"/>
    <mergeCell ref="D58:J58"/>
    <mergeCell ref="D59:J59"/>
    <mergeCell ref="D55:J55"/>
    <mergeCell ref="B38:C38"/>
    <mergeCell ref="B39:C39"/>
    <mergeCell ref="B40:C40"/>
    <mergeCell ref="B41:C41"/>
    <mergeCell ref="B42:C42"/>
    <mergeCell ref="B43:C43"/>
    <mergeCell ref="B58:C58"/>
    <mergeCell ref="B59:C59"/>
    <mergeCell ref="D48:J48"/>
    <mergeCell ref="D49:J49"/>
    <mergeCell ref="B50:C50"/>
    <mergeCell ref="B51:C51"/>
    <mergeCell ref="B52:C52"/>
    <mergeCell ref="B53:C53"/>
    <mergeCell ref="B54:C54"/>
    <mergeCell ref="B55:C55"/>
    <mergeCell ref="B56:C56"/>
    <mergeCell ref="B57:C57"/>
    <mergeCell ref="B49:C49"/>
    <mergeCell ref="D56:J56"/>
    <mergeCell ref="D57:J57"/>
    <mergeCell ref="D38:J38"/>
    <mergeCell ref="D39:J39"/>
    <mergeCell ref="D40:J40"/>
    <mergeCell ref="D41:J41"/>
    <mergeCell ref="D42:J42"/>
    <mergeCell ref="D43:J43"/>
    <mergeCell ref="D54:J54"/>
    <mergeCell ref="D50:J50"/>
    <mergeCell ref="D51:J51"/>
    <mergeCell ref="D52:J52"/>
    <mergeCell ref="D53:J53"/>
    <mergeCell ref="N47:O47"/>
    <mergeCell ref="N51:O51"/>
    <mergeCell ref="K38:L38"/>
    <mergeCell ref="N53:O53"/>
    <mergeCell ref="N54:O54"/>
    <mergeCell ref="D47:J47"/>
    <mergeCell ref="N48:O48"/>
    <mergeCell ref="N49:O49"/>
    <mergeCell ref="N50:O50"/>
    <mergeCell ref="N44:O44"/>
    <mergeCell ref="N45:O45"/>
    <mergeCell ref="N46:O46"/>
    <mergeCell ref="N57:O57"/>
    <mergeCell ref="N58:O58"/>
    <mergeCell ref="N59:O59"/>
    <mergeCell ref="P38:W38"/>
    <mergeCell ref="P39:W39"/>
    <mergeCell ref="P40:W40"/>
    <mergeCell ref="P41:W41"/>
    <mergeCell ref="P42:W42"/>
    <mergeCell ref="P55:W55"/>
    <mergeCell ref="N39:O39"/>
    <mergeCell ref="P45:W45"/>
    <mergeCell ref="AA44:AB44"/>
    <mergeCell ref="AA45:AB45"/>
    <mergeCell ref="X38:Y38"/>
    <mergeCell ref="N55:O55"/>
    <mergeCell ref="AA43:AB43"/>
    <mergeCell ref="N52:O52"/>
    <mergeCell ref="N40:O40"/>
    <mergeCell ref="N41:O41"/>
    <mergeCell ref="N56:O56"/>
    <mergeCell ref="P50:W50"/>
    <mergeCell ref="P51:W51"/>
    <mergeCell ref="N42:O42"/>
    <mergeCell ref="N43:O43"/>
    <mergeCell ref="AA38:AB38"/>
    <mergeCell ref="AA39:AB39"/>
    <mergeCell ref="AA40:AB40"/>
    <mergeCell ref="AA41:AB41"/>
    <mergeCell ref="AA42:AB42"/>
    <mergeCell ref="AA58:AB58"/>
    <mergeCell ref="AA59:AB59"/>
    <mergeCell ref="AA47:AB47"/>
    <mergeCell ref="AA50:AB50"/>
    <mergeCell ref="AA51:AB51"/>
    <mergeCell ref="AA52:AB52"/>
    <mergeCell ref="AA53:AB53"/>
    <mergeCell ref="AA54:AB54"/>
    <mergeCell ref="AA55:AB55"/>
    <mergeCell ref="P58:W58"/>
    <mergeCell ref="P59:W59"/>
    <mergeCell ref="P46:W46"/>
    <mergeCell ref="P47:W47"/>
    <mergeCell ref="P48:W48"/>
    <mergeCell ref="P52:W52"/>
    <mergeCell ref="P53:W53"/>
    <mergeCell ref="P54:W54"/>
    <mergeCell ref="P49:W49"/>
    <mergeCell ref="AU39:BJ39"/>
    <mergeCell ref="AA46:AB46"/>
    <mergeCell ref="AA48:AB48"/>
    <mergeCell ref="AA49:AB49"/>
    <mergeCell ref="P56:W56"/>
    <mergeCell ref="P57:W57"/>
    <mergeCell ref="AA56:AB56"/>
    <mergeCell ref="AA57:AB57"/>
    <mergeCell ref="P43:W43"/>
    <mergeCell ref="P44:W44"/>
    <mergeCell ref="AC46:AN46"/>
    <mergeCell ref="AC47:AN47"/>
    <mergeCell ref="AC48:AN48"/>
    <mergeCell ref="AC49:AN49"/>
    <mergeCell ref="AC51:AN51"/>
    <mergeCell ref="AU47:BJ47"/>
    <mergeCell ref="AC54:AN54"/>
    <mergeCell ref="AC38:AN38"/>
    <mergeCell ref="AC39:AN39"/>
    <mergeCell ref="AC40:AN40"/>
    <mergeCell ref="AC41:AN41"/>
    <mergeCell ref="AC42:AN42"/>
    <mergeCell ref="AC50:AN50"/>
    <mergeCell ref="AC53:AN53"/>
    <mergeCell ref="AC43:AN43"/>
    <mergeCell ref="AC44:AN44"/>
    <mergeCell ref="AC52:AN52"/>
    <mergeCell ref="BN40:CE40"/>
    <mergeCell ref="AU46:BJ46"/>
    <mergeCell ref="AO38:AP38"/>
    <mergeCell ref="B37:AP37"/>
    <mergeCell ref="A2:CM2"/>
    <mergeCell ref="A4:CM4"/>
    <mergeCell ref="A6:CM6"/>
    <mergeCell ref="A22:CM22"/>
    <mergeCell ref="AC45:AN45"/>
    <mergeCell ref="AU41:BJ41"/>
    <mergeCell ref="AU45:BJ45"/>
    <mergeCell ref="BN39:CE39"/>
    <mergeCell ref="BN41:CE41"/>
    <mergeCell ref="AC60:AN60"/>
    <mergeCell ref="AC55:AN55"/>
    <mergeCell ref="AC56:AN56"/>
    <mergeCell ref="AC57:AN57"/>
    <mergeCell ref="AC58:AN58"/>
    <mergeCell ref="AC59:AN59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63" r:id="rId1"/>
  <headerFooter>
    <oddFooter>&amp;R&amp;K00-024&amp;A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9">
      <selection activeCell="B19" sqref="B19:M19"/>
    </sheetView>
  </sheetViews>
  <sheetFormatPr defaultColWidth="9.140625" defaultRowHeight="15"/>
  <cols>
    <col min="1" max="1" width="34.140625" style="0" customWidth="1"/>
    <col min="2" max="10" width="2.7109375" style="0" customWidth="1"/>
    <col min="14" max="14" width="8.8515625" style="0" hidden="1" customWidth="1"/>
  </cols>
  <sheetData>
    <row r="1" spans="1:13" ht="14.25">
      <c r="A1" s="576" t="s">
        <v>454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3" ht="14.25">
      <c r="A2" s="577" t="s">
        <v>457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ht="14.25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</row>
    <row r="4" spans="1:13" ht="14.25">
      <c r="A4" s="574" t="s">
        <v>436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ht="14.25">
      <c r="A5" s="4" t="s">
        <v>437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</row>
    <row r="6" spans="1:13" ht="14.25">
      <c r="A6" s="4" t="s">
        <v>438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</row>
    <row r="7" spans="1:13" ht="14.25">
      <c r="A7" s="4" t="s">
        <v>483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</row>
    <row r="8" spans="1:13" ht="14.25">
      <c r="A8" s="4" t="s">
        <v>449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</row>
    <row r="9" spans="1:13" ht="14.25">
      <c r="A9" s="4" t="s">
        <v>439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</row>
    <row r="10" spans="1:13" ht="14.25">
      <c r="A10" s="4" t="s">
        <v>440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</row>
    <row r="11" spans="1:13" ht="14.25">
      <c r="A11" s="4" t="s">
        <v>441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</row>
    <row r="12" spans="1:13" ht="14.25">
      <c r="A12" s="4" t="s">
        <v>442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</row>
    <row r="13" spans="1:13" ht="14.25">
      <c r="A13" s="4" t="s">
        <v>443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</row>
    <row r="14" spans="1:13" ht="66.75" customHeight="1">
      <c r="A14" s="537" t="s">
        <v>467</v>
      </c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</row>
    <row r="15" spans="1:13" ht="14.25">
      <c r="A15" s="4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</row>
    <row r="16" spans="1:13" ht="14.25">
      <c r="A16" s="574" t="s">
        <v>444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</row>
    <row r="17" spans="1:13" ht="14.25">
      <c r="A17" s="4" t="s">
        <v>445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</row>
    <row r="18" spans="1:13" ht="14.25">
      <c r="A18" s="4" t="s">
        <v>438</v>
      </c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</row>
    <row r="19" spans="1:13" ht="14.25">
      <c r="A19" s="4" t="s">
        <v>484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</row>
    <row r="20" spans="1:13" ht="14.25">
      <c r="A20" s="4" t="s">
        <v>446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</row>
    <row r="21" spans="1:14" ht="14.25" hidden="1">
      <c r="A21" s="4" t="s">
        <v>463</v>
      </c>
      <c r="B21" s="571" t="s">
        <v>470</v>
      </c>
      <c r="C21" s="571"/>
      <c r="D21" s="571"/>
      <c r="E21" s="571"/>
      <c r="F21" s="571"/>
      <c r="G21" s="571"/>
      <c r="H21" s="571"/>
      <c r="I21" s="571"/>
      <c r="J21" s="571"/>
      <c r="K21" s="572" t="s">
        <v>462</v>
      </c>
      <c r="L21" s="572"/>
      <c r="M21" s="572"/>
      <c r="N21">
        <f>IF(B21="","",IF(B21="DA",1,0))</f>
        <v>0</v>
      </c>
    </row>
    <row r="22" spans="1:14" ht="14.25" hidden="1">
      <c r="A22" s="4" t="s">
        <v>464</v>
      </c>
      <c r="B22" s="571" t="s">
        <v>470</v>
      </c>
      <c r="C22" s="571"/>
      <c r="D22" s="571"/>
      <c r="E22" s="571"/>
      <c r="F22" s="571"/>
      <c r="G22" s="571"/>
      <c r="H22" s="571"/>
      <c r="I22" s="571"/>
      <c r="J22" s="571"/>
      <c r="K22" s="572" t="s">
        <v>462</v>
      </c>
      <c r="L22" s="572"/>
      <c r="M22" s="572"/>
      <c r="N22">
        <f>IF(B22="","",IF(B22="DA",1,0))</f>
        <v>0</v>
      </c>
    </row>
    <row r="23" spans="1:14" ht="14.25" hidden="1">
      <c r="A23" s="4" t="s">
        <v>465</v>
      </c>
      <c r="B23" s="571" t="s">
        <v>470</v>
      </c>
      <c r="C23" s="571"/>
      <c r="D23" s="571"/>
      <c r="E23" s="571"/>
      <c r="F23" s="571"/>
      <c r="G23" s="571"/>
      <c r="H23" s="571"/>
      <c r="I23" s="571"/>
      <c r="J23" s="571"/>
      <c r="K23" s="572" t="s">
        <v>462</v>
      </c>
      <c r="L23" s="572"/>
      <c r="M23" s="572"/>
      <c r="N23">
        <f>IF(B23="","",IF(B23="DA",1,0))</f>
        <v>0</v>
      </c>
    </row>
    <row r="24" spans="1:14" ht="14.25">
      <c r="A24" s="573">
        <f>IF('obrazec 1'!F4="","",IF(AND('obrazec 1'!F4&lt;&gt;"",N24=""),"NAPAKA - Na obrazcu podatki niste navedli ali ste program ZŽS izvajali v decembu 2015, januarju 2016 in februarju 2016.",""))</f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>
        <f>IF(AND(N21="",N22="",N23=""),"",SUM(N21:N23))</f>
        <v>0</v>
      </c>
    </row>
    <row r="25" spans="1:13" ht="14.25">
      <c r="A25" s="574" t="s">
        <v>458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</row>
    <row r="26" spans="1:13" ht="14.25">
      <c r="A26" s="539" t="s">
        <v>447</v>
      </c>
      <c r="B26" s="575">
        <f>IF(OR('Zbirni obrazec'!G38="",'Zbirni obrazec'!G38=0),"",'Zbirni obrazec'!G38)</f>
      </c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</row>
    <row r="27" spans="1:13" ht="14.25">
      <c r="A27" s="539" t="s">
        <v>448</v>
      </c>
      <c r="B27" s="567">
        <f>IF('Zbirni obrazec'!G41="","",'Zbirni obrazec'!G41)</f>
      </c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</row>
    <row r="28" spans="1:13" ht="14.25">
      <c r="A28" s="539" t="s">
        <v>450</v>
      </c>
      <c r="B28" s="568">
        <f>IF(OR('Zbirni obrazec'!G40="",'Zbirni obrazec'!G40=0),"",ROUND('Zbirni obrazec'!G40/'Zbirni obrazec'!N40,0))</f>
      </c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</row>
    <row r="29" spans="1:13" ht="14.25">
      <c r="A29" s="539" t="s">
        <v>451</v>
      </c>
      <c r="B29" s="567">
        <f>IF('Zbirni obrazec'!G40="","",'Zbirni obrazec'!G40)</f>
      </c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</row>
    <row r="30" spans="1:13" ht="14.25">
      <c r="A30" s="539" t="s">
        <v>452</v>
      </c>
      <c r="B30" s="569">
        <f>IF('obrazec 1'!H75="","",'obrazec 1'!H75)</f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</row>
    <row r="31" spans="1:13" ht="14.25">
      <c r="A31" s="539" t="s">
        <v>468</v>
      </c>
      <c r="B31" s="536">
        <f>+IF('obrazec 4'!$AI15=1,'obrazec 4'!$AD15,"")</f>
      </c>
      <c r="C31" s="538">
        <f>+IF('obrazec 4'!$AI16=1,'obrazec 4'!$AD16,"")</f>
      </c>
      <c r="D31" s="538">
        <f>+IF('obrazec 4'!$AI17=1,'obrazec 4'!$AD17,"")</f>
      </c>
      <c r="E31" s="538">
        <f>+IF('obrazec 4'!$AI18=1,'obrazec 4'!$AD18,"")</f>
      </c>
      <c r="F31" s="538">
        <f>+IF('obrazec 4'!$AI19=1,'obrazec 4'!$AD19,"")</f>
      </c>
      <c r="G31" s="538">
        <f>+IF('obrazec 4'!$AI20=1,'obrazec 4'!$AD20,"")</f>
      </c>
      <c r="H31" s="538">
        <f>+IF('obrazec 4'!$AI21=1,'obrazec 4'!$AD21,"")</f>
      </c>
      <c r="I31" s="538">
        <f>+IF('obrazec 4'!$AI22=1,'obrazec 4'!$AD22,"")</f>
      </c>
      <c r="J31" s="538">
        <f>+IF('obrazec 4'!$AI23=2,'obrazec 4'!$AD23,"")</f>
      </c>
      <c r="K31" s="570"/>
      <c r="L31" s="570"/>
      <c r="M31" s="570"/>
    </row>
    <row r="32" ht="14.25">
      <c r="B32" s="511"/>
    </row>
    <row r="33" spans="1:3" ht="15">
      <c r="A33" s="513"/>
      <c r="B33" s="510"/>
      <c r="C33" s="510"/>
    </row>
    <row r="34" spans="1:3" ht="14.25" hidden="1">
      <c r="A34" s="522" t="s">
        <v>453</v>
      </c>
      <c r="B34" s="515"/>
      <c r="C34" s="510"/>
    </row>
    <row r="35" spans="1:21" ht="14.25" hidden="1">
      <c r="A35" s="522">
        <f>B5</f>
        <v>0</v>
      </c>
      <c r="B35" s="522">
        <f>B6</f>
        <v>0</v>
      </c>
      <c r="C35" s="510">
        <f>B7</f>
        <v>0</v>
      </c>
      <c r="D35">
        <f>B8</f>
        <v>0</v>
      </c>
      <c r="E35">
        <f>B9</f>
        <v>0</v>
      </c>
      <c r="F35">
        <f>B10</f>
        <v>0</v>
      </c>
      <c r="G35">
        <f>B11</f>
        <v>0</v>
      </c>
      <c r="H35">
        <f>B12</f>
        <v>0</v>
      </c>
      <c r="I35">
        <f>B13</f>
        <v>0</v>
      </c>
      <c r="J35">
        <f>B14</f>
        <v>0</v>
      </c>
      <c r="K35">
        <f>B17</f>
        <v>0</v>
      </c>
      <c r="L35">
        <f>B18</f>
        <v>0</v>
      </c>
      <c r="M35">
        <f>B19</f>
        <v>0</v>
      </c>
      <c r="O35">
        <f>B20</f>
        <v>0</v>
      </c>
      <c r="P35">
        <f>B26</f>
      </c>
      <c r="Q35">
        <f>B27</f>
      </c>
      <c r="R35">
        <f>B28</f>
      </c>
      <c r="S35">
        <f>B29</f>
      </c>
      <c r="T35">
        <f>B30</f>
      </c>
      <c r="U35">
        <f>COUNT(B31:J31)</f>
        <v>0</v>
      </c>
    </row>
    <row r="36" spans="1:3" ht="14.25">
      <c r="A36" s="514"/>
      <c r="B36" s="514"/>
      <c r="C36" s="510"/>
    </row>
    <row r="37" spans="1:3" ht="14.25">
      <c r="A37" s="514"/>
      <c r="B37" s="514"/>
      <c r="C37" s="510"/>
    </row>
    <row r="38" spans="1:3" ht="14.25">
      <c r="A38" s="514"/>
      <c r="B38" s="514"/>
      <c r="C38" s="510"/>
    </row>
    <row r="39" spans="1:3" ht="14.25">
      <c r="A39" s="514"/>
      <c r="B39" s="514"/>
      <c r="C39" s="510"/>
    </row>
    <row r="40" spans="1:3" ht="14.25">
      <c r="A40" s="514"/>
      <c r="B40" s="514"/>
      <c r="C40" s="510"/>
    </row>
    <row r="41" spans="1:3" ht="14.25">
      <c r="A41" s="514"/>
      <c r="B41" s="514"/>
      <c r="C41" s="510"/>
    </row>
    <row r="42" spans="1:3" ht="14.25">
      <c r="A42" s="514"/>
      <c r="B42" s="515"/>
      <c r="C42" s="510"/>
    </row>
    <row r="43" spans="1:3" ht="14.25">
      <c r="A43" s="514"/>
      <c r="B43" s="515"/>
      <c r="C43" s="510"/>
    </row>
    <row r="44" spans="1:3" ht="14.25">
      <c r="A44" s="514"/>
      <c r="B44" s="515"/>
      <c r="C44" s="510"/>
    </row>
    <row r="45" spans="1:3" ht="14.25">
      <c r="A45" s="514"/>
      <c r="B45" s="515"/>
      <c r="C45" s="510"/>
    </row>
    <row r="46" spans="1:3" ht="14.25">
      <c r="A46" s="514"/>
      <c r="B46" s="516"/>
      <c r="C46" s="510"/>
    </row>
    <row r="47" spans="1:3" ht="14.25">
      <c r="A47" s="514"/>
      <c r="B47" s="514"/>
      <c r="C47" s="510"/>
    </row>
    <row r="48" spans="1:3" ht="14.25">
      <c r="A48" s="514"/>
      <c r="B48" s="516"/>
      <c r="C48" s="510"/>
    </row>
    <row r="49" spans="1:3" ht="14.25">
      <c r="A49" s="517"/>
      <c r="B49" s="514"/>
      <c r="C49" s="510"/>
    </row>
    <row r="50" spans="1:3" ht="14.25">
      <c r="A50" s="517"/>
      <c r="B50" s="514"/>
      <c r="C50" s="510"/>
    </row>
    <row r="51" spans="1:3" ht="14.25">
      <c r="A51" s="514"/>
      <c r="B51" s="518"/>
      <c r="C51" s="510"/>
    </row>
    <row r="52" spans="1:3" ht="14.25">
      <c r="A52" s="514"/>
      <c r="B52" s="519"/>
      <c r="C52" s="510"/>
    </row>
    <row r="53" spans="1:3" ht="14.25">
      <c r="A53" s="517"/>
      <c r="B53" s="520"/>
      <c r="C53" s="510"/>
    </row>
    <row r="54" spans="1:3" ht="14.25">
      <c r="A54" s="517"/>
      <c r="B54" s="521"/>
      <c r="C54" s="510"/>
    </row>
    <row r="55" spans="1:3" ht="14.25">
      <c r="A55" s="517"/>
      <c r="B55" s="519"/>
      <c r="C55" s="510"/>
    </row>
    <row r="56" ht="14.25">
      <c r="A56" s="512"/>
    </row>
    <row r="57" ht="14.25">
      <c r="A57" s="512"/>
    </row>
  </sheetData>
  <sheetProtection password="C86A" sheet="1" selectLockedCells="1"/>
  <mergeCells count="34">
    <mergeCell ref="B17:M17"/>
    <mergeCell ref="B18:M18"/>
    <mergeCell ref="A4:M4"/>
    <mergeCell ref="B5:M5"/>
    <mergeCell ref="B6:M6"/>
    <mergeCell ref="B7:M7"/>
    <mergeCell ref="B8:M8"/>
    <mergeCell ref="B9:M9"/>
    <mergeCell ref="B14:M14"/>
    <mergeCell ref="A16:M16"/>
    <mergeCell ref="B10:M10"/>
    <mergeCell ref="B11:M11"/>
    <mergeCell ref="B12:M12"/>
    <mergeCell ref="B13:M13"/>
    <mergeCell ref="A1:M1"/>
    <mergeCell ref="A2:M2"/>
    <mergeCell ref="A3:M3"/>
    <mergeCell ref="A24:M24"/>
    <mergeCell ref="A25:M25"/>
    <mergeCell ref="B26:M26"/>
    <mergeCell ref="K23:M23"/>
    <mergeCell ref="B19:M19"/>
    <mergeCell ref="B20:M20"/>
    <mergeCell ref="K22:M22"/>
    <mergeCell ref="B15:M15"/>
    <mergeCell ref="B27:M27"/>
    <mergeCell ref="B28:M28"/>
    <mergeCell ref="B29:M29"/>
    <mergeCell ref="B30:M30"/>
    <mergeCell ref="K31:M31"/>
    <mergeCell ref="B21:J21"/>
    <mergeCell ref="B22:J22"/>
    <mergeCell ref="B23:J23"/>
    <mergeCell ref="K21:M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7"/>
  <sheetViews>
    <sheetView showGridLines="0" tabSelected="1" zoomScalePageLayoutView="0" workbookViewId="0" topLeftCell="A37">
      <selection activeCell="F57" sqref="F57:G57"/>
    </sheetView>
  </sheetViews>
  <sheetFormatPr defaultColWidth="9.140625" defaultRowHeight="15"/>
  <cols>
    <col min="1" max="1" width="4.28125" style="4" customWidth="1"/>
    <col min="2" max="3" width="5.28125" style="4" customWidth="1"/>
    <col min="4" max="4" width="8.28125" style="4" customWidth="1"/>
    <col min="5" max="5" width="4.28125" style="4" customWidth="1"/>
    <col min="6" max="6" width="9.00390625" style="4" customWidth="1"/>
    <col min="7" max="7" width="10.8515625" style="4" customWidth="1"/>
    <col min="8" max="8" width="9.140625" style="4" customWidth="1"/>
    <col min="9" max="9" width="17.421875" style="4" customWidth="1"/>
    <col min="10" max="10" width="7.57421875" style="4" customWidth="1"/>
    <col min="11" max="11" width="14.28125" style="4" customWidth="1"/>
    <col min="12" max="12" width="6.00390625" style="4" customWidth="1"/>
    <col min="13" max="15" width="10.7109375" style="4" customWidth="1"/>
    <col min="16" max="21" width="5.7109375" style="4" hidden="1" customWidth="1"/>
    <col min="22" max="31" width="9.140625" style="4" hidden="1" customWidth="1"/>
    <col min="32" max="37" width="10.7109375" style="4" customWidth="1"/>
    <col min="38" max="16384" width="9.140625" style="4" customWidth="1"/>
  </cols>
  <sheetData>
    <row r="1" spans="2:5" ht="14.25">
      <c r="B1" s="145" t="s">
        <v>299</v>
      </c>
      <c r="C1" s="145"/>
      <c r="D1" s="145"/>
      <c r="E1" s="145"/>
    </row>
    <row r="2" spans="2:5" ht="14.25">
      <c r="B2" s="145"/>
      <c r="C2" s="145"/>
      <c r="D2" s="145"/>
      <c r="E2" s="145"/>
    </row>
    <row r="3" spans="2:9" ht="14.25">
      <c r="B3" s="4" t="s">
        <v>394</v>
      </c>
      <c r="F3" s="524"/>
      <c r="G3" s="477" t="s">
        <v>395</v>
      </c>
      <c r="I3" s="478">
        <f>IF(AND(F3="",F4&lt;&gt;""),"NAPAKA - obvezno izpolni polje","")</f>
      </c>
    </row>
    <row r="4" spans="2:11" ht="14.25">
      <c r="B4" s="138" t="s">
        <v>22</v>
      </c>
      <c r="C4" s="138"/>
      <c r="D4" s="138"/>
      <c r="E4" s="138"/>
      <c r="F4" s="617">
        <f>IF(podatki!B5="","",podatki!B5)</f>
      </c>
      <c r="G4" s="617"/>
      <c r="H4" s="617"/>
      <c r="I4" s="617"/>
      <c r="J4" s="617"/>
      <c r="K4" s="617"/>
    </row>
    <row r="5" spans="2:11" ht="14.25">
      <c r="B5" s="138" t="s">
        <v>23</v>
      </c>
      <c r="C5" s="138"/>
      <c r="D5" s="138"/>
      <c r="E5" s="138"/>
      <c r="F5" s="617">
        <f>IF(podatki!B6="","",podatki!B6)</f>
      </c>
      <c r="G5" s="617"/>
      <c r="H5" s="617"/>
      <c r="I5" s="617"/>
      <c r="J5" s="617"/>
      <c r="K5" s="617"/>
    </row>
    <row r="6" spans="2:11" ht="14.25">
      <c r="B6" s="138" t="s">
        <v>24</v>
      </c>
      <c r="C6" s="138"/>
      <c r="D6" s="138"/>
      <c r="E6" s="138"/>
      <c r="F6" s="617">
        <f>IF(podatki!B9="","",podatki!B9)</f>
      </c>
      <c r="G6" s="617"/>
      <c r="H6" s="617"/>
      <c r="I6" s="617"/>
      <c r="J6" s="617"/>
      <c r="K6" s="617"/>
    </row>
    <row r="7" spans="2:11" ht="14.25">
      <c r="B7" s="138" t="s">
        <v>25</v>
      </c>
      <c r="C7" s="138"/>
      <c r="D7" s="138"/>
      <c r="E7" s="138"/>
      <c r="F7" s="618"/>
      <c r="G7" s="618"/>
      <c r="H7" s="618"/>
      <c r="I7" s="618"/>
      <c r="J7" s="618"/>
      <c r="K7" s="618"/>
    </row>
    <row r="8" spans="2:11" ht="14.25">
      <c r="B8" s="138" t="s">
        <v>26</v>
      </c>
      <c r="C8" s="138"/>
      <c r="D8" s="138"/>
      <c r="E8" s="138"/>
      <c r="F8" s="619">
        <f>IF(podatki!B8="","",podatki!B8)</f>
      </c>
      <c r="G8" s="619"/>
      <c r="H8" s="619"/>
      <c r="I8" s="619"/>
      <c r="J8" s="619"/>
      <c r="K8" s="619"/>
    </row>
    <row r="10" spans="2:11" ht="14.25">
      <c r="B10" s="623" t="s">
        <v>471</v>
      </c>
      <c r="C10" s="623"/>
      <c r="D10" s="623"/>
      <c r="E10" s="623"/>
      <c r="F10" s="623"/>
      <c r="G10" s="623"/>
      <c r="H10" s="623"/>
      <c r="I10" s="623"/>
      <c r="J10" s="623"/>
      <c r="K10" s="623"/>
    </row>
    <row r="12" spans="2:11" ht="14.25">
      <c r="B12" s="138" t="s">
        <v>413</v>
      </c>
      <c r="C12" s="138"/>
      <c r="D12" s="138"/>
      <c r="E12" s="138"/>
      <c r="F12" s="596"/>
      <c r="G12" s="596"/>
      <c r="H12" s="596"/>
      <c r="I12" s="138" t="s">
        <v>30</v>
      </c>
      <c r="J12" s="594"/>
      <c r="K12" s="594"/>
    </row>
    <row r="13" spans="2:11" ht="14.25">
      <c r="B13" s="138" t="s">
        <v>27</v>
      </c>
      <c r="C13" s="138"/>
      <c r="D13" s="138"/>
      <c r="E13" s="138"/>
      <c r="F13" s="596"/>
      <c r="G13" s="596"/>
      <c r="H13" s="596"/>
      <c r="I13" s="138" t="s">
        <v>23</v>
      </c>
      <c r="J13" s="594"/>
      <c r="K13" s="594"/>
    </row>
    <row r="14" spans="2:11" ht="14.25">
      <c r="B14" s="138" t="s">
        <v>28</v>
      </c>
      <c r="C14" s="138"/>
      <c r="D14" s="138"/>
      <c r="E14" s="138"/>
      <c r="F14" s="591"/>
      <c r="G14" s="591"/>
      <c r="H14" s="591"/>
      <c r="I14" s="138" t="s">
        <v>24</v>
      </c>
      <c r="J14" s="595"/>
      <c r="K14" s="595"/>
    </row>
    <row r="15" spans="2:11" ht="14.25">
      <c r="B15" s="138" t="s">
        <v>25</v>
      </c>
      <c r="C15" s="138"/>
      <c r="D15" s="138"/>
      <c r="E15" s="138"/>
      <c r="F15" s="591"/>
      <c r="G15" s="591"/>
      <c r="H15" s="591"/>
      <c r="I15" s="138" t="s">
        <v>25</v>
      </c>
      <c r="J15" s="595"/>
      <c r="K15" s="595"/>
    </row>
    <row r="16" spans="2:11" ht="14.25">
      <c r="B16" s="138" t="s">
        <v>29</v>
      </c>
      <c r="C16" s="138"/>
      <c r="D16" s="138"/>
      <c r="E16" s="138"/>
      <c r="F16" s="591"/>
      <c r="G16" s="591"/>
      <c r="H16" s="591"/>
      <c r="I16" s="138" t="s">
        <v>26</v>
      </c>
      <c r="J16" s="595"/>
      <c r="K16" s="595"/>
    </row>
    <row r="18" ht="1.5" customHeight="1"/>
    <row r="19" spans="2:11" ht="14.25">
      <c r="B19" s="138" t="s">
        <v>31</v>
      </c>
      <c r="C19" s="138"/>
      <c r="D19" s="138"/>
      <c r="E19" s="138"/>
      <c r="F19" s="596"/>
      <c r="G19" s="596"/>
      <c r="H19" s="596"/>
      <c r="I19" s="138" t="s">
        <v>31</v>
      </c>
      <c r="J19" s="594"/>
      <c r="K19" s="594"/>
    </row>
    <row r="20" spans="2:11" ht="14.25">
      <c r="B20" s="138" t="s">
        <v>23</v>
      </c>
      <c r="C20" s="138"/>
      <c r="D20" s="138"/>
      <c r="E20" s="138"/>
      <c r="F20" s="596"/>
      <c r="G20" s="596"/>
      <c r="H20" s="596"/>
      <c r="I20" s="138" t="s">
        <v>23</v>
      </c>
      <c r="J20" s="594"/>
      <c r="K20" s="594"/>
    </row>
    <row r="21" spans="2:11" ht="14.25">
      <c r="B21" s="138" t="s">
        <v>24</v>
      </c>
      <c r="C21" s="138"/>
      <c r="D21" s="138"/>
      <c r="E21" s="138"/>
      <c r="F21" s="591"/>
      <c r="G21" s="591"/>
      <c r="H21" s="591"/>
      <c r="I21" s="138" t="s">
        <v>24</v>
      </c>
      <c r="J21" s="595"/>
      <c r="K21" s="595"/>
    </row>
    <row r="22" spans="2:11" ht="14.25">
      <c r="B22" s="138" t="s">
        <v>25</v>
      </c>
      <c r="C22" s="138"/>
      <c r="D22" s="138"/>
      <c r="E22" s="138"/>
      <c r="F22" s="591"/>
      <c r="G22" s="591"/>
      <c r="H22" s="591"/>
      <c r="I22" s="138" t="s">
        <v>25</v>
      </c>
      <c r="J22" s="595"/>
      <c r="K22" s="595"/>
    </row>
    <row r="23" spans="2:11" ht="14.25">
      <c r="B23" s="138" t="s">
        <v>26</v>
      </c>
      <c r="C23" s="138"/>
      <c r="D23" s="138"/>
      <c r="E23" s="138"/>
      <c r="F23" s="591"/>
      <c r="G23" s="591"/>
      <c r="H23" s="591"/>
      <c r="I23" s="138" t="s">
        <v>26</v>
      </c>
      <c r="J23" s="595"/>
      <c r="K23" s="595"/>
    </row>
    <row r="25" ht="1.5" customHeight="1"/>
    <row r="26" spans="2:11" ht="14.25">
      <c r="B26" s="138" t="s">
        <v>31</v>
      </c>
      <c r="C26" s="138"/>
      <c r="D26" s="138"/>
      <c r="E26" s="138"/>
      <c r="F26" s="596"/>
      <c r="G26" s="596"/>
      <c r="H26" s="596"/>
      <c r="I26" s="138" t="s">
        <v>31</v>
      </c>
      <c r="J26" s="594"/>
      <c r="K26" s="594"/>
    </row>
    <row r="27" spans="2:11" ht="14.25">
      <c r="B27" s="138" t="s">
        <v>23</v>
      </c>
      <c r="C27" s="138"/>
      <c r="D27" s="138"/>
      <c r="E27" s="138"/>
      <c r="F27" s="596"/>
      <c r="G27" s="596"/>
      <c r="H27" s="596"/>
      <c r="I27" s="138" t="s">
        <v>23</v>
      </c>
      <c r="J27" s="594"/>
      <c r="K27" s="594"/>
    </row>
    <row r="28" spans="2:11" ht="14.25">
      <c r="B28" s="138" t="s">
        <v>24</v>
      </c>
      <c r="C28" s="138"/>
      <c r="D28" s="138"/>
      <c r="E28" s="138"/>
      <c r="F28" s="591"/>
      <c r="G28" s="591"/>
      <c r="H28" s="591"/>
      <c r="I28" s="138" t="s">
        <v>24</v>
      </c>
      <c r="J28" s="595"/>
      <c r="K28" s="595"/>
    </row>
    <row r="29" spans="2:11" ht="14.25">
      <c r="B29" s="138" t="s">
        <v>25</v>
      </c>
      <c r="C29" s="138"/>
      <c r="D29" s="138"/>
      <c r="E29" s="138"/>
      <c r="F29" s="591"/>
      <c r="G29" s="591"/>
      <c r="H29" s="591"/>
      <c r="I29" s="138" t="s">
        <v>25</v>
      </c>
      <c r="J29" s="595"/>
      <c r="K29" s="595"/>
    </row>
    <row r="30" spans="2:11" ht="14.25">
      <c r="B30" s="138" t="s">
        <v>26</v>
      </c>
      <c r="C30" s="138"/>
      <c r="D30" s="138"/>
      <c r="E30" s="138"/>
      <c r="F30" s="591"/>
      <c r="G30" s="591"/>
      <c r="H30" s="591"/>
      <c r="I30" s="138" t="s">
        <v>26</v>
      </c>
      <c r="J30" s="595"/>
      <c r="K30" s="595"/>
    </row>
    <row r="32" ht="1.5" customHeight="1"/>
    <row r="33" spans="2:11" ht="14.25">
      <c r="B33" s="138" t="s">
        <v>31</v>
      </c>
      <c r="C33" s="138"/>
      <c r="D33" s="138"/>
      <c r="E33" s="138"/>
      <c r="F33" s="596"/>
      <c r="G33" s="596"/>
      <c r="H33" s="596"/>
      <c r="I33" s="138" t="s">
        <v>31</v>
      </c>
      <c r="J33" s="594"/>
      <c r="K33" s="594"/>
    </row>
    <row r="34" spans="2:11" ht="14.25">
      <c r="B34" s="138" t="s">
        <v>23</v>
      </c>
      <c r="C34" s="138"/>
      <c r="D34" s="138"/>
      <c r="E34" s="138"/>
      <c r="F34" s="596"/>
      <c r="G34" s="596"/>
      <c r="H34" s="596"/>
      <c r="I34" s="138" t="s">
        <v>23</v>
      </c>
      <c r="J34" s="594"/>
      <c r="K34" s="594"/>
    </row>
    <row r="35" spans="2:11" ht="14.25">
      <c r="B35" s="138" t="s">
        <v>24</v>
      </c>
      <c r="C35" s="138"/>
      <c r="D35" s="138"/>
      <c r="E35" s="138"/>
      <c r="F35" s="591"/>
      <c r="G35" s="591"/>
      <c r="H35" s="591"/>
      <c r="I35" s="138" t="s">
        <v>24</v>
      </c>
      <c r="J35" s="595"/>
      <c r="K35" s="595"/>
    </row>
    <row r="36" spans="2:11" ht="14.25">
      <c r="B36" s="138" t="s">
        <v>25</v>
      </c>
      <c r="C36" s="138"/>
      <c r="D36" s="138"/>
      <c r="E36" s="138"/>
      <c r="F36" s="591"/>
      <c r="G36" s="591"/>
      <c r="H36" s="591"/>
      <c r="I36" s="138" t="s">
        <v>25</v>
      </c>
      <c r="J36" s="595"/>
      <c r="K36" s="595"/>
    </row>
    <row r="37" spans="2:11" ht="14.25">
      <c r="B37" s="138" t="s">
        <v>26</v>
      </c>
      <c r="C37" s="138"/>
      <c r="D37" s="138"/>
      <c r="E37" s="138"/>
      <c r="F37" s="591"/>
      <c r="G37" s="591"/>
      <c r="H37" s="591"/>
      <c r="I37" s="138" t="s">
        <v>26</v>
      </c>
      <c r="J37" s="595"/>
      <c r="K37" s="595"/>
    </row>
    <row r="39" ht="1.5" customHeight="1"/>
    <row r="40" spans="2:11" ht="14.25">
      <c r="B40" s="138" t="s">
        <v>31</v>
      </c>
      <c r="C40" s="138"/>
      <c r="D40" s="138"/>
      <c r="E40" s="138"/>
      <c r="F40" s="596"/>
      <c r="G40" s="596"/>
      <c r="H40" s="596"/>
      <c r="I40" s="138" t="s">
        <v>31</v>
      </c>
      <c r="J40" s="594"/>
      <c r="K40" s="594"/>
    </row>
    <row r="41" spans="2:11" ht="14.25">
      <c r="B41" s="138" t="s">
        <v>23</v>
      </c>
      <c r="C41" s="138"/>
      <c r="D41" s="138"/>
      <c r="E41" s="138"/>
      <c r="F41" s="596"/>
      <c r="G41" s="596"/>
      <c r="H41" s="596"/>
      <c r="I41" s="138" t="s">
        <v>23</v>
      </c>
      <c r="J41" s="594"/>
      <c r="K41" s="594"/>
    </row>
    <row r="42" spans="2:11" ht="14.25">
      <c r="B42" s="138" t="s">
        <v>24</v>
      </c>
      <c r="C42" s="138"/>
      <c r="D42" s="138"/>
      <c r="E42" s="138"/>
      <c r="F42" s="591"/>
      <c r="G42" s="591"/>
      <c r="H42" s="591"/>
      <c r="I42" s="138" t="s">
        <v>24</v>
      </c>
      <c r="J42" s="595"/>
      <c r="K42" s="595"/>
    </row>
    <row r="43" spans="2:11" ht="14.25">
      <c r="B43" s="138" t="s">
        <v>25</v>
      </c>
      <c r="C43" s="138"/>
      <c r="D43" s="138"/>
      <c r="E43" s="138"/>
      <c r="F43" s="591"/>
      <c r="G43" s="591"/>
      <c r="H43" s="591"/>
      <c r="I43" s="138" t="s">
        <v>25</v>
      </c>
      <c r="J43" s="595"/>
      <c r="K43" s="595"/>
    </row>
    <row r="44" spans="2:11" ht="14.25">
      <c r="B44" s="138" t="s">
        <v>26</v>
      </c>
      <c r="C44" s="138"/>
      <c r="D44" s="138"/>
      <c r="E44" s="138"/>
      <c r="F44" s="591"/>
      <c r="G44" s="591"/>
      <c r="H44" s="591"/>
      <c r="I44" s="138" t="s">
        <v>26</v>
      </c>
      <c r="J44" s="595"/>
      <c r="K44" s="595"/>
    </row>
    <row r="46" ht="1.5" customHeight="1"/>
    <row r="47" spans="2:11" ht="14.25">
      <c r="B47" s="138" t="s">
        <v>371</v>
      </c>
      <c r="C47" s="138"/>
      <c r="D47" s="138"/>
      <c r="E47" s="138"/>
      <c r="F47" s="596"/>
      <c r="G47" s="596"/>
      <c r="H47" s="596"/>
      <c r="I47" s="138" t="s">
        <v>371</v>
      </c>
      <c r="J47" s="594"/>
      <c r="K47" s="594"/>
    </row>
    <row r="48" spans="2:11" ht="14.25">
      <c r="B48" s="138" t="s">
        <v>23</v>
      </c>
      <c r="C48" s="138"/>
      <c r="D48" s="138"/>
      <c r="E48" s="138"/>
      <c r="F48" s="596"/>
      <c r="G48" s="596"/>
      <c r="H48" s="596"/>
      <c r="I48" s="138" t="s">
        <v>23</v>
      </c>
      <c r="J48" s="594"/>
      <c r="K48" s="594"/>
    </row>
    <row r="49" spans="2:11" ht="14.25">
      <c r="B49" s="138" t="s">
        <v>24</v>
      </c>
      <c r="C49" s="138"/>
      <c r="D49" s="138"/>
      <c r="E49" s="138"/>
      <c r="F49" s="591"/>
      <c r="G49" s="591"/>
      <c r="H49" s="591"/>
      <c r="I49" s="138" t="s">
        <v>24</v>
      </c>
      <c r="J49" s="595"/>
      <c r="K49" s="595"/>
    </row>
    <row r="50" spans="2:11" ht="14.25">
      <c r="B50" s="138" t="s">
        <v>25</v>
      </c>
      <c r="C50" s="138"/>
      <c r="D50" s="138"/>
      <c r="E50" s="138"/>
      <c r="F50" s="591"/>
      <c r="G50" s="591"/>
      <c r="H50" s="591"/>
      <c r="I50" s="138" t="s">
        <v>25</v>
      </c>
      <c r="J50" s="595"/>
      <c r="K50" s="595"/>
    </row>
    <row r="51" spans="2:11" ht="14.25">
      <c r="B51" s="138" t="s">
        <v>26</v>
      </c>
      <c r="C51" s="138"/>
      <c r="D51" s="138"/>
      <c r="E51" s="138"/>
      <c r="F51" s="591"/>
      <c r="G51" s="591"/>
      <c r="H51" s="591"/>
      <c r="I51" s="138" t="s">
        <v>26</v>
      </c>
      <c r="J51" s="595"/>
      <c r="K51" s="595"/>
    </row>
    <row r="53" spans="1:11" ht="14.25">
      <c r="A53" s="592" t="s">
        <v>32</v>
      </c>
      <c r="B53" s="592"/>
      <c r="C53" s="592"/>
      <c r="D53" s="592"/>
      <c r="E53" s="592"/>
      <c r="F53" s="611">
        <v>43028</v>
      </c>
      <c r="G53" s="612"/>
      <c r="H53" s="133" t="s">
        <v>478</v>
      </c>
      <c r="I53" s="133"/>
      <c r="J53" s="133"/>
      <c r="K53" s="133"/>
    </row>
    <row r="54" spans="1:11" ht="14.25">
      <c r="A54" s="278"/>
      <c r="B54" s="278"/>
      <c r="C54" s="278"/>
      <c r="D54" s="278"/>
      <c r="E54" s="278"/>
      <c r="F54" s="582" t="s">
        <v>357</v>
      </c>
      <c r="G54" s="582"/>
      <c r="H54" s="58"/>
      <c r="I54" s="277"/>
      <c r="J54" s="277"/>
      <c r="K54" s="277"/>
    </row>
    <row r="55" spans="1:10" ht="14.25">
      <c r="A55" s="133" t="s">
        <v>419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6" spans="2:10" ht="4.5" customHeight="1">
      <c r="B56" s="587"/>
      <c r="C56" s="587"/>
      <c r="D56" s="587"/>
      <c r="E56" s="587"/>
      <c r="F56" s="587"/>
      <c r="G56" s="587"/>
      <c r="H56" s="587"/>
      <c r="I56" s="587"/>
      <c r="J56" s="587"/>
    </row>
    <row r="57" spans="1:12" ht="14.25">
      <c r="A57" s="425" t="s">
        <v>15</v>
      </c>
      <c r="B57" s="135" t="s">
        <v>358</v>
      </c>
      <c r="C57" s="135"/>
      <c r="D57" s="135"/>
      <c r="E57" s="135"/>
      <c r="F57" s="581"/>
      <c r="G57" s="581"/>
      <c r="H57" s="4" t="s">
        <v>259</v>
      </c>
      <c r="L57" s="169"/>
    </row>
    <row r="58" spans="1:7" ht="14.25">
      <c r="A58" s="137"/>
      <c r="B58" s="135"/>
      <c r="C58" s="135"/>
      <c r="D58" s="135"/>
      <c r="E58" s="135"/>
      <c r="F58" s="582" t="s">
        <v>102</v>
      </c>
      <c r="G58" s="582"/>
    </row>
    <row r="59" spans="1:21" ht="14.25">
      <c r="A59" s="137"/>
      <c r="B59" s="599"/>
      <c r="C59" s="599"/>
      <c r="D59" s="599"/>
      <c r="E59" s="4" t="s">
        <v>260</v>
      </c>
      <c r="G59" s="58"/>
      <c r="P59" s="279">
        <v>0</v>
      </c>
      <c r="Q59" s="279">
        <v>39</v>
      </c>
      <c r="R59" s="279">
        <v>0</v>
      </c>
      <c r="S59" s="279">
        <v>0</v>
      </c>
      <c r="T59" s="279">
        <v>3</v>
      </c>
      <c r="U59" s="279">
        <v>0</v>
      </c>
    </row>
    <row r="60" spans="2:21" ht="14.25">
      <c r="B60" s="366" t="s">
        <v>258</v>
      </c>
      <c r="C60" s="170"/>
      <c r="D60" s="133"/>
      <c r="E60" s="133"/>
      <c r="F60" s="133"/>
      <c r="G60" s="133"/>
      <c r="H60" s="133"/>
      <c r="I60" s="133"/>
      <c r="P60" s="279">
        <v>40</v>
      </c>
      <c r="Q60" s="279">
        <v>60</v>
      </c>
      <c r="R60" s="279">
        <v>2</v>
      </c>
      <c r="S60" s="279">
        <v>4</v>
      </c>
      <c r="T60" s="279">
        <v>5</v>
      </c>
      <c r="U60" s="279">
        <v>2</v>
      </c>
    </row>
    <row r="61" spans="1:21" ht="14.25">
      <c r="A61" s="425" t="s">
        <v>16</v>
      </c>
      <c r="B61" s="135" t="s">
        <v>33</v>
      </c>
      <c r="C61" s="135"/>
      <c r="D61" s="135"/>
      <c r="E61" s="584">
        <f>IF(F4="","",IF(AND(J12="",F47="",J47=""),CONCATENATE(F4,",",F5),IF(AND(F3="DA",OR(J12&lt;&gt;"",J13&lt;&gt;"")),CONCATENATE(F4,",",F5," in ",J12,",",J13),IF(AND(F3="NE",OR(J12&lt;&gt;"",J13&lt;&gt;"")),CONCATENATE(J12,",",J13),"NAPAKA"))))</f>
      </c>
      <c r="F61" s="584"/>
      <c r="G61" s="584"/>
      <c r="H61" s="584"/>
      <c r="I61" s="584"/>
      <c r="J61" s="4" t="s">
        <v>349</v>
      </c>
      <c r="P61" s="279">
        <v>61</v>
      </c>
      <c r="Q61" s="279">
        <v>80</v>
      </c>
      <c r="R61" s="279">
        <v>4</v>
      </c>
      <c r="S61" s="279">
        <v>6</v>
      </c>
      <c r="T61" s="279">
        <v>7</v>
      </c>
      <c r="U61" s="279">
        <v>4</v>
      </c>
    </row>
    <row r="62" spans="1:21" ht="14.25">
      <c r="A62" s="137"/>
      <c r="B62" s="135"/>
      <c r="C62" s="135"/>
      <c r="D62" s="135"/>
      <c r="E62" s="582" t="s">
        <v>103</v>
      </c>
      <c r="F62" s="582"/>
      <c r="G62" s="582"/>
      <c r="H62" s="582"/>
      <c r="I62" s="582"/>
      <c r="P62" s="279">
        <v>81</v>
      </c>
      <c r="Q62" s="279"/>
      <c r="R62" s="279">
        <v>6</v>
      </c>
      <c r="S62" s="279">
        <v>8</v>
      </c>
      <c r="T62" s="279"/>
      <c r="U62" s="279">
        <v>6</v>
      </c>
    </row>
    <row r="63" spans="1:21" ht="14.25">
      <c r="A63" s="137"/>
      <c r="B63" s="135"/>
      <c r="C63" s="135"/>
      <c r="D63" s="135"/>
      <c r="E63" s="584">
        <f>IF(OR(F47="",F48=""),"",CONCATENATE(F47,",",F48))</f>
      </c>
      <c r="F63" s="584"/>
      <c r="G63" s="584"/>
      <c r="H63" s="584"/>
      <c r="I63" s="584"/>
      <c r="J63" s="4" t="s">
        <v>349</v>
      </c>
      <c r="P63" s="365"/>
      <c r="Q63" s="365"/>
      <c r="R63" s="365"/>
      <c r="S63" s="365"/>
      <c r="T63" s="365"/>
      <c r="U63" s="365"/>
    </row>
    <row r="64" spans="1:21" ht="14.25">
      <c r="A64" s="137"/>
      <c r="B64" s="135"/>
      <c r="C64" s="135"/>
      <c r="D64" s="135"/>
      <c r="E64" s="582" t="s">
        <v>103</v>
      </c>
      <c r="F64" s="582"/>
      <c r="G64" s="582"/>
      <c r="H64" s="582"/>
      <c r="I64" s="582"/>
      <c r="P64" s="365"/>
      <c r="Q64" s="365"/>
      <c r="R64" s="365"/>
      <c r="S64" s="365"/>
      <c r="T64" s="365"/>
      <c r="U64" s="365"/>
    </row>
    <row r="65" spans="1:21" ht="14.25">
      <c r="A65" s="137"/>
      <c r="B65" s="135"/>
      <c r="C65" s="135"/>
      <c r="D65" s="135"/>
      <c r="E65" s="584">
        <f>IF(OR(J47="",J48=""),"",CONCATENATE(J47,",",J48))</f>
      </c>
      <c r="F65" s="584"/>
      <c r="G65" s="584"/>
      <c r="H65" s="584"/>
      <c r="I65" s="584"/>
      <c r="J65" s="4" t="s">
        <v>95</v>
      </c>
      <c r="P65" s="365"/>
      <c r="Q65" s="365"/>
      <c r="R65" s="365"/>
      <c r="S65" s="365"/>
      <c r="T65" s="365"/>
      <c r="U65" s="365"/>
    </row>
    <row r="66" spans="1:21" ht="14.25">
      <c r="A66" s="137"/>
      <c r="B66" s="135"/>
      <c r="C66" s="135"/>
      <c r="D66" s="135"/>
      <c r="E66" s="582" t="s">
        <v>103</v>
      </c>
      <c r="F66" s="582"/>
      <c r="G66" s="582"/>
      <c r="H66" s="582"/>
      <c r="I66" s="582"/>
      <c r="P66" s="365"/>
      <c r="Q66" s="365"/>
      <c r="R66" s="365"/>
      <c r="S66" s="365"/>
      <c r="T66" s="365"/>
      <c r="U66" s="365"/>
    </row>
    <row r="67" spans="1:7" ht="14.25">
      <c r="A67" s="137"/>
      <c r="B67" s="135" t="s">
        <v>363</v>
      </c>
      <c r="C67" s="135"/>
      <c r="D67" s="135"/>
      <c r="E67" s="135"/>
      <c r="F67" s="135"/>
      <c r="G67" s="58"/>
    </row>
    <row r="68" spans="2:11" ht="4.5" customHeight="1">
      <c r="B68" s="133"/>
      <c r="C68" s="133"/>
      <c r="D68" s="133"/>
      <c r="E68" s="133"/>
      <c r="F68" s="133"/>
      <c r="G68" s="133"/>
      <c r="H68" s="133"/>
      <c r="I68" s="133"/>
      <c r="J68" s="133"/>
      <c r="K68" s="133"/>
    </row>
    <row r="69" spans="2:20" ht="14.25">
      <c r="B69" s="133" t="s">
        <v>479</v>
      </c>
      <c r="C69" s="133"/>
      <c r="D69" s="133"/>
      <c r="E69" s="133"/>
      <c r="F69" s="133"/>
      <c r="G69" s="133"/>
      <c r="H69" s="133"/>
      <c r="I69" s="133"/>
      <c r="J69" s="133"/>
      <c r="K69" s="133"/>
      <c r="R69" s="4">
        <f>VLOOKUP(B59,$P$59:$R$62,3,TRUE)</f>
        <v>0</v>
      </c>
      <c r="S69" s="4">
        <f>VLOOKUP(F57,$S$59:$U$62,3,TRUE)</f>
        <v>0</v>
      </c>
      <c r="T69" s="4">
        <f>LARGE($R$69:$S$69,1)</f>
        <v>0</v>
      </c>
    </row>
    <row r="70" spans="2:11" ht="14.25" customHeight="1">
      <c r="B70" s="133"/>
      <c r="C70" s="133"/>
      <c r="D70" s="133"/>
      <c r="E70" s="133"/>
      <c r="F70" s="133"/>
      <c r="G70" s="133"/>
      <c r="H70" s="133"/>
      <c r="I70" s="133"/>
      <c r="J70" s="133"/>
      <c r="K70" s="133"/>
    </row>
    <row r="71" spans="1:11" ht="14.25">
      <c r="A71" s="425" t="s">
        <v>17</v>
      </c>
      <c r="B71" s="135" t="s">
        <v>332</v>
      </c>
      <c r="C71" s="135"/>
      <c r="D71" s="135"/>
      <c r="E71" s="58"/>
      <c r="F71" s="58"/>
      <c r="G71" s="285"/>
      <c r="H71" s="585">
        <f>IF(podatki!B17="","",podatki!B17)</f>
      </c>
      <c r="I71" s="585"/>
      <c r="J71" s="585"/>
      <c r="K71" s="585"/>
    </row>
    <row r="72" spans="1:11" ht="14.25">
      <c r="A72" s="137"/>
      <c r="B72" s="135"/>
      <c r="C72" s="135"/>
      <c r="D72" s="135"/>
      <c r="E72" s="284"/>
      <c r="F72" s="284"/>
      <c r="G72" s="284"/>
      <c r="H72" s="582" t="s">
        <v>333</v>
      </c>
      <c r="I72" s="582"/>
      <c r="J72" s="582"/>
      <c r="K72" s="582"/>
    </row>
    <row r="73" spans="1:9" ht="14.25">
      <c r="A73" s="137"/>
      <c r="B73" s="535" t="s">
        <v>466</v>
      </c>
      <c r="C73" s="135"/>
      <c r="D73" s="135"/>
      <c r="E73" s="135"/>
      <c r="F73" s="135"/>
      <c r="G73"/>
      <c r="H73" s="450">
        <f>IF(AND('Zbirni obrazec'!G33="",'Zbirni obrazec'!G34="",'Zbirni obrazec'!G35="",'Zbirni obrazec'!G36="",'Zbirni obrazec'!G37=""),"",IF(OR('obrazec 7'!$B$62="NAPAKA",'obrazec 8'!$CE$20="NAPAKA",'Zbirni obrazec'!G33="VEČ KOT 723 UR"),"NAPAKA",('obrazec 8'!$CE$20+'obrazec 7'!$B$62+'obrazec 6 - OŠPP'!$AT$23+'obrazec 6'!$AT$23)*1))</f>
      </c>
      <c r="I73" s="4" t="s">
        <v>433</v>
      </c>
    </row>
    <row r="74" spans="6:10" ht="4.5" customHeight="1">
      <c r="F74" s="426"/>
      <c r="G74"/>
      <c r="H74"/>
      <c r="I74" s="362"/>
      <c r="J74" s="426"/>
    </row>
    <row r="75" spans="2:9" ht="14.25">
      <c r="B75" s="450">
        <f>IF($H$73="","",IF($H$73="NAPAKA","NAP.",VLOOKUP($H$73,$W$127:$AA$147,4,TRUE)))</f>
      </c>
      <c r="C75" s="445" t="s">
        <v>388</v>
      </c>
      <c r="D75" s="445"/>
      <c r="E75" s="445"/>
      <c r="G75" s="417"/>
      <c r="H75" s="450">
        <f>IF($H$73="","",IF(H73="NAPAKA","NAPAKA",VLOOKUP($H$73,$W$127:$AA$147,3,TRUE)))</f>
      </c>
      <c r="I75" s="446" t="s">
        <v>480</v>
      </c>
    </row>
    <row r="76" spans="2:9" ht="4.5" customHeight="1">
      <c r="B76" s="445"/>
      <c r="C76" s="445"/>
      <c r="D76" s="445"/>
      <c r="E76" s="445"/>
      <c r="G76" s="417"/>
      <c r="I76" s="417"/>
    </row>
    <row r="77" spans="2:37" ht="14.25">
      <c r="B77" s="566" t="s">
        <v>420</v>
      </c>
      <c r="C77" s="566"/>
      <c r="D77" s="566"/>
      <c r="E77" s="566"/>
      <c r="F77" s="566"/>
      <c r="G77" s="616">
        <f>IF($H$73="","",IF($H$73="NAPAKA","NAPAKA",IF(AND(($H$73-VLOOKUP($H$73,$W$127:$AA$147,1,TRUE))&gt;-1,($H$73-VLOOKUP($H$73,$W$127:$AA$147,1,TRUE))&lt;1),"","NAPAKA - popravite število ur vadbe na zavihku 7 in/ali na zavihku 8 tako, da bo skupno število")))</f>
      </c>
      <c r="H77" s="616"/>
      <c r="I77" s="616"/>
      <c r="J77" s="616"/>
      <c r="K77" s="616"/>
      <c r="M77" s="620" t="s">
        <v>391</v>
      </c>
      <c r="N77" s="613" t="s">
        <v>393</v>
      </c>
      <c r="O77" s="624" t="s">
        <v>392</v>
      </c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620" t="s">
        <v>391</v>
      </c>
      <c r="AG77" s="613" t="s">
        <v>393</v>
      </c>
      <c r="AH77" s="624" t="s">
        <v>392</v>
      </c>
      <c r="AI77" s="620" t="s">
        <v>391</v>
      </c>
      <c r="AJ77" s="613" t="s">
        <v>393</v>
      </c>
      <c r="AK77" s="624" t="s">
        <v>392</v>
      </c>
    </row>
    <row r="78" spans="2:37" ht="9.75" customHeight="1">
      <c r="B78" s="586">
        <f>IF($G$77&lt;&gt;"","načrtovanih ur v programu ZŽS 2017-2018, potrebnih za želen delež zaposlitve, večje od ur vadbe zapisanih v tabeli pri želenem deležu zaposlitve","")</f>
      </c>
      <c r="C78" s="586"/>
      <c r="D78" s="586"/>
      <c r="E78" s="586"/>
      <c r="F78" s="586"/>
      <c r="G78" s="586"/>
      <c r="H78" s="586"/>
      <c r="I78" s="586"/>
      <c r="J78" s="586"/>
      <c r="K78" s="586"/>
      <c r="M78" s="621"/>
      <c r="N78" s="614"/>
      <c r="O78" s="625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621"/>
      <c r="AG78" s="614"/>
      <c r="AH78" s="625"/>
      <c r="AI78" s="621"/>
      <c r="AJ78" s="614"/>
      <c r="AK78" s="625"/>
    </row>
    <row r="79" spans="2:37" ht="9.75" customHeight="1">
      <c r="B79" s="586">
        <f>IF($G$77&lt;&gt;"","za manj kot eno uro oziroma bo število ur popolnoma enako.","")</f>
      </c>
      <c r="C79" s="586"/>
      <c r="D79" s="586"/>
      <c r="E79" s="586"/>
      <c r="F79" s="586"/>
      <c r="G79" s="586"/>
      <c r="H79" s="586"/>
      <c r="I79" s="586"/>
      <c r="J79" s="586"/>
      <c r="K79" s="586"/>
      <c r="M79" s="622"/>
      <c r="N79" s="615"/>
      <c r="O79" s="626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622"/>
      <c r="AG79" s="615"/>
      <c r="AH79" s="626"/>
      <c r="AI79" s="622"/>
      <c r="AJ79" s="615"/>
      <c r="AK79" s="626"/>
    </row>
    <row r="80" spans="1:37" ht="14.25">
      <c r="A80" s="425" t="s">
        <v>19</v>
      </c>
      <c r="B80" s="138" t="s">
        <v>359</v>
      </c>
      <c r="C80" s="138"/>
      <c r="D80" s="138"/>
      <c r="E80" s="285"/>
      <c r="F80" s="285"/>
      <c r="G80" s="581"/>
      <c r="H80" s="581"/>
      <c r="I80" s="581"/>
      <c r="J80" s="135" t="s">
        <v>334</v>
      </c>
      <c r="M80" s="460">
        <v>0</v>
      </c>
      <c r="N80" s="457">
        <v>0</v>
      </c>
      <c r="O80" s="458">
        <v>0</v>
      </c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60">
        <v>325.5</v>
      </c>
      <c r="AG80" s="457">
        <v>22.5</v>
      </c>
      <c r="AH80" s="458">
        <v>9</v>
      </c>
      <c r="AI80" s="460">
        <v>651</v>
      </c>
      <c r="AJ80" s="457">
        <v>45</v>
      </c>
      <c r="AK80" s="458">
        <v>18</v>
      </c>
    </row>
    <row r="81" spans="1:37" ht="14.25">
      <c r="A81" s="137"/>
      <c r="B81" s="138"/>
      <c r="C81" s="138"/>
      <c r="D81" s="138"/>
      <c r="E81" s="138"/>
      <c r="F81" s="146"/>
      <c r="G81" s="582" t="s">
        <v>335</v>
      </c>
      <c r="H81" s="582"/>
      <c r="I81" s="582"/>
      <c r="J81" s="146"/>
      <c r="K81" s="135"/>
      <c r="M81" s="464">
        <v>36.2</v>
      </c>
      <c r="N81" s="461">
        <v>2.5</v>
      </c>
      <c r="O81" s="462">
        <v>1</v>
      </c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4">
        <v>361.7</v>
      </c>
      <c r="AG81" s="461">
        <v>25</v>
      </c>
      <c r="AH81" s="462">
        <v>10</v>
      </c>
      <c r="AI81" s="464">
        <v>687.2</v>
      </c>
      <c r="AJ81" s="461">
        <v>47.5</v>
      </c>
      <c r="AK81" s="462">
        <v>19</v>
      </c>
    </row>
    <row r="82" spans="1:37" ht="14.25">
      <c r="A82" s="137"/>
      <c r="B82" s="138" t="s">
        <v>360</v>
      </c>
      <c r="C82" s="138"/>
      <c r="D82" s="138"/>
      <c r="E82" s="138"/>
      <c r="F82" s="146"/>
      <c r="G82" s="146"/>
      <c r="H82" s="146"/>
      <c r="I82" s="146"/>
      <c r="J82" s="146"/>
      <c r="K82" s="135"/>
      <c r="M82" s="464">
        <v>72.3</v>
      </c>
      <c r="N82" s="461">
        <v>5</v>
      </c>
      <c r="O82" s="462">
        <v>2</v>
      </c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4">
        <v>397.8</v>
      </c>
      <c r="AG82" s="461">
        <v>27.5</v>
      </c>
      <c r="AH82" s="462">
        <v>11</v>
      </c>
      <c r="AI82" s="470">
        <v>723</v>
      </c>
      <c r="AJ82" s="471">
        <v>50</v>
      </c>
      <c r="AK82" s="472">
        <v>20</v>
      </c>
    </row>
    <row r="83" spans="2:37" ht="14.25" customHeight="1">
      <c r="B83" s="137"/>
      <c r="C83" s="137"/>
      <c r="D83" s="137"/>
      <c r="E83" s="137"/>
      <c r="M83" s="464">
        <v>108.5</v>
      </c>
      <c r="N83" s="461">
        <v>7.5</v>
      </c>
      <c r="O83" s="462">
        <v>3</v>
      </c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4">
        <v>434</v>
      </c>
      <c r="AG83" s="461">
        <v>30</v>
      </c>
      <c r="AH83" s="462">
        <v>12</v>
      </c>
      <c r="AI83" s="473"/>
      <c r="AJ83" s="474"/>
      <c r="AK83" s="474"/>
    </row>
    <row r="84" spans="1:37" ht="14.25">
      <c r="A84" s="425" t="s">
        <v>34</v>
      </c>
      <c r="B84" s="587" t="s">
        <v>375</v>
      </c>
      <c r="C84" s="587"/>
      <c r="D84" s="587"/>
      <c r="E84" s="587"/>
      <c r="F84" s="587"/>
      <c r="G84" s="587"/>
      <c r="H84" s="590"/>
      <c r="I84" s="590"/>
      <c r="J84" s="590"/>
      <c r="K84" s="4" t="s">
        <v>376</v>
      </c>
      <c r="M84" s="464">
        <v>144.7</v>
      </c>
      <c r="N84" s="461">
        <v>10</v>
      </c>
      <c r="O84" s="462">
        <v>4</v>
      </c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4">
        <v>470.2</v>
      </c>
      <c r="AG84" s="461">
        <v>32.5</v>
      </c>
      <c r="AH84" s="462">
        <v>13</v>
      </c>
      <c r="AI84" s="456"/>
      <c r="AJ84" s="58"/>
      <c r="AK84" s="58"/>
    </row>
    <row r="85" spans="2:37" ht="14.25">
      <c r="B85" s="137"/>
      <c r="C85" s="137"/>
      <c r="D85" s="137"/>
      <c r="E85" s="137"/>
      <c r="H85" s="610" t="s">
        <v>104</v>
      </c>
      <c r="I85" s="610"/>
      <c r="J85" s="610"/>
      <c r="M85" s="464">
        <v>180.8</v>
      </c>
      <c r="N85" s="461">
        <v>12.5</v>
      </c>
      <c r="O85" s="462">
        <v>5</v>
      </c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4">
        <v>506.3</v>
      </c>
      <c r="AG85" s="461">
        <v>35</v>
      </c>
      <c r="AH85" s="462">
        <v>14</v>
      </c>
      <c r="AI85" s="456"/>
      <c r="AJ85" s="58"/>
      <c r="AK85" s="58"/>
    </row>
    <row r="86" spans="1:37" ht="14.25">
      <c r="A86" s="425" t="s">
        <v>96</v>
      </c>
      <c r="B86" s="171" t="s">
        <v>481</v>
      </c>
      <c r="C86" s="171"/>
      <c r="D86" s="171"/>
      <c r="E86" s="171"/>
      <c r="F86" s="171"/>
      <c r="G86" s="171"/>
      <c r="M86" s="464">
        <v>217</v>
      </c>
      <c r="N86" s="461">
        <v>15</v>
      </c>
      <c r="O86" s="462">
        <v>6</v>
      </c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4">
        <v>542.5</v>
      </c>
      <c r="AG86" s="461">
        <v>37.5</v>
      </c>
      <c r="AH86" s="462">
        <v>15</v>
      </c>
      <c r="AI86" s="456"/>
      <c r="AJ86" s="58"/>
      <c r="AK86" s="58"/>
    </row>
    <row r="87" spans="13:37" ht="14.25">
      <c r="M87" s="464">
        <v>253.2</v>
      </c>
      <c r="N87" s="461">
        <v>17.5</v>
      </c>
      <c r="O87" s="462">
        <v>7</v>
      </c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4">
        <v>578.7</v>
      </c>
      <c r="AG87" s="461">
        <v>40</v>
      </c>
      <c r="AH87" s="462">
        <v>16</v>
      </c>
      <c r="AI87" s="456"/>
      <c r="AJ87" s="58"/>
      <c r="AK87" s="58"/>
    </row>
    <row r="88" spans="1:37" ht="14.25">
      <c r="A88" s="587" t="s">
        <v>361</v>
      </c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M88" s="468">
        <v>289.3</v>
      </c>
      <c r="N88" s="465">
        <v>20</v>
      </c>
      <c r="O88" s="466">
        <v>8</v>
      </c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  <c r="AF88" s="468">
        <v>614.8</v>
      </c>
      <c r="AG88" s="465">
        <v>42.5</v>
      </c>
      <c r="AH88" s="466">
        <v>17</v>
      </c>
      <c r="AI88" s="456"/>
      <c r="AJ88" s="58"/>
      <c r="AK88" s="58"/>
    </row>
    <row r="89" spans="2:5" ht="4.5" customHeight="1">
      <c r="B89" s="525"/>
      <c r="C89" s="525"/>
      <c r="D89" s="525"/>
      <c r="E89" s="525"/>
    </row>
    <row r="90" spans="1:11" ht="14.25">
      <c r="A90" s="587" t="s">
        <v>340</v>
      </c>
      <c r="B90" s="587"/>
      <c r="C90" s="587"/>
      <c r="D90" s="587"/>
      <c r="E90" s="587"/>
      <c r="F90" s="587"/>
      <c r="G90" s="587"/>
      <c r="H90" s="587"/>
      <c r="I90" s="587"/>
      <c r="J90" s="587"/>
      <c r="K90" s="587"/>
    </row>
    <row r="91" spans="1:6" ht="14.25">
      <c r="A91" s="525"/>
      <c r="B91" s="525"/>
      <c r="C91" s="525"/>
      <c r="D91" s="525"/>
      <c r="E91" s="525"/>
      <c r="F91" s="525"/>
    </row>
    <row r="92" spans="2:10" ht="72.75" customHeight="1">
      <c r="B92" s="588" t="s">
        <v>414</v>
      </c>
      <c r="C92" s="588"/>
      <c r="D92" s="588"/>
      <c r="E92" s="588"/>
      <c r="F92" s="589" t="s">
        <v>362</v>
      </c>
      <c r="G92" s="589"/>
      <c r="H92" s="589"/>
      <c r="I92" s="588" t="s">
        <v>373</v>
      </c>
      <c r="J92" s="588"/>
    </row>
    <row r="93" spans="2:10" ht="14.25">
      <c r="B93" s="600">
        <f>IF(F4="","",F12)</f>
      </c>
      <c r="C93" s="600"/>
      <c r="D93" s="600"/>
      <c r="E93" s="601"/>
      <c r="F93" s="604">
        <f>IF(F4="","",F4)</f>
      </c>
      <c r="G93" s="605"/>
      <c r="H93" s="606"/>
      <c r="I93" s="602">
        <f>IF(J12="","",J12)</f>
      </c>
      <c r="J93" s="600"/>
    </row>
    <row r="94" spans="2:10" ht="14.25">
      <c r="B94" s="597">
        <f>IF(F6="","",F14)</f>
      </c>
      <c r="C94" s="597"/>
      <c r="D94" s="597"/>
      <c r="E94" s="598"/>
      <c r="F94" s="607">
        <f>IF(F6="","",F6)</f>
      </c>
      <c r="G94" s="608"/>
      <c r="H94" s="609"/>
      <c r="I94" s="603">
        <f>IF(J14="","",J14)</f>
      </c>
      <c r="J94" s="597"/>
    </row>
    <row r="97" spans="2:10" ht="28.5" customHeight="1">
      <c r="B97" s="580" t="s">
        <v>35</v>
      </c>
      <c r="C97" s="580"/>
      <c r="D97" s="580"/>
      <c r="E97" s="580"/>
      <c r="I97" s="588" t="s">
        <v>35</v>
      </c>
      <c r="J97" s="588"/>
    </row>
    <row r="98" spans="2:10" ht="14.25">
      <c r="B98" s="583">
        <f>IF(F19="","",F19)</f>
      </c>
      <c r="C98" s="583"/>
      <c r="D98" s="583"/>
      <c r="E98" s="583"/>
      <c r="I98" s="583">
        <f>IF(J19="","",J19)</f>
      </c>
      <c r="J98" s="583"/>
    </row>
    <row r="99" spans="2:10" ht="14.25">
      <c r="B99" s="593">
        <f>IF(F21="","",F21)</f>
      </c>
      <c r="C99" s="593"/>
      <c r="D99" s="593"/>
      <c r="E99" s="593"/>
      <c r="I99" s="593">
        <f>IF(J21="","",J21)</f>
      </c>
      <c r="J99" s="593"/>
    </row>
    <row r="102" spans="2:10" ht="28.5" customHeight="1">
      <c r="B102" s="588" t="s">
        <v>35</v>
      </c>
      <c r="C102" s="588"/>
      <c r="D102" s="588"/>
      <c r="E102" s="588"/>
      <c r="I102" s="588" t="s">
        <v>35</v>
      </c>
      <c r="J102" s="588"/>
    </row>
    <row r="103" spans="2:10" ht="14.25">
      <c r="B103" s="583">
        <f>IF(F26="","",F26)</f>
      </c>
      <c r="C103" s="583"/>
      <c r="D103" s="583"/>
      <c r="E103" s="583"/>
      <c r="I103" s="583">
        <f>IF(J26="","",J26)</f>
      </c>
      <c r="J103" s="583"/>
    </row>
    <row r="104" spans="2:10" ht="14.25">
      <c r="B104" s="593">
        <f>IF(F28="","",F28)</f>
      </c>
      <c r="C104" s="593"/>
      <c r="D104" s="593"/>
      <c r="E104" s="593"/>
      <c r="I104" s="593">
        <f>IF(J28="","",J28)</f>
      </c>
      <c r="J104" s="593"/>
    </row>
    <row r="107" spans="2:10" ht="28.5" customHeight="1">
      <c r="B107" s="588" t="s">
        <v>35</v>
      </c>
      <c r="C107" s="588"/>
      <c r="D107" s="588"/>
      <c r="E107" s="588"/>
      <c r="I107" s="588" t="s">
        <v>35</v>
      </c>
      <c r="J107" s="588"/>
    </row>
    <row r="108" spans="2:10" ht="14.25">
      <c r="B108" s="583">
        <f>IF(F33="","",F33)</f>
      </c>
      <c r="C108" s="583"/>
      <c r="D108" s="583"/>
      <c r="E108" s="583"/>
      <c r="I108" s="583">
        <f>IF(J33="","",J33)</f>
      </c>
      <c r="J108" s="583"/>
    </row>
    <row r="109" spans="2:10" ht="14.25">
      <c r="B109" s="593">
        <f>IF(F35="","",F35)</f>
      </c>
      <c r="C109" s="593"/>
      <c r="D109" s="593"/>
      <c r="E109" s="593"/>
      <c r="I109" s="593">
        <f>IF(J35="","",J35)</f>
      </c>
      <c r="J109" s="593"/>
    </row>
    <row r="111" spans="1:10" ht="28.5" customHeight="1">
      <c r="A111" s="41"/>
      <c r="B111" s="588" t="s">
        <v>35</v>
      </c>
      <c r="C111" s="588"/>
      <c r="D111" s="588"/>
      <c r="E111" s="588"/>
      <c r="F111" s="41"/>
      <c r="G111" s="41"/>
      <c r="H111" s="41"/>
      <c r="I111" s="588" t="s">
        <v>35</v>
      </c>
      <c r="J111" s="588"/>
    </row>
    <row r="112" spans="1:10" ht="14.25">
      <c r="A112" s="41"/>
      <c r="B112" s="583">
        <f>IF(F40="","",F40)</f>
      </c>
      <c r="C112" s="583"/>
      <c r="D112" s="583"/>
      <c r="E112" s="583"/>
      <c r="F112" s="41"/>
      <c r="G112" s="41"/>
      <c r="H112" s="41"/>
      <c r="I112" s="583">
        <f>IF(J40="","",J40)</f>
      </c>
      <c r="J112" s="583"/>
    </row>
    <row r="113" spans="1:10" ht="14.25">
      <c r="A113" s="41"/>
      <c r="B113" s="593">
        <f>IF(F42="","",F42)</f>
      </c>
      <c r="C113" s="593"/>
      <c r="D113" s="593"/>
      <c r="E113" s="593"/>
      <c r="F113" s="41"/>
      <c r="G113" s="41"/>
      <c r="H113" s="41"/>
      <c r="I113" s="593">
        <f>IF(J42="","",J42)</f>
      </c>
      <c r="J113" s="593"/>
    </row>
    <row r="114" spans="1:10" ht="14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ht="42.75" customHeight="1">
      <c r="A115" s="41"/>
      <c r="B115" s="588" t="s">
        <v>372</v>
      </c>
      <c r="C115" s="588"/>
      <c r="D115" s="588"/>
      <c r="E115" s="588"/>
      <c r="F115" s="41"/>
      <c r="G115" s="41"/>
      <c r="H115" s="41"/>
      <c r="I115" s="588" t="s">
        <v>372</v>
      </c>
      <c r="J115" s="588"/>
    </row>
    <row r="116" spans="1:10" ht="14.25">
      <c r="A116" s="41"/>
      <c r="B116" s="583">
        <f>IF(F47="","",F47)</f>
      </c>
      <c r="C116" s="583"/>
      <c r="D116" s="583"/>
      <c r="E116" s="583"/>
      <c r="F116" s="41"/>
      <c r="G116" s="41"/>
      <c r="H116" s="41"/>
      <c r="I116" s="583">
        <f>IF(J47="","",J47)</f>
      </c>
      <c r="J116" s="583"/>
    </row>
    <row r="117" spans="1:10" ht="14.25">
      <c r="A117" s="41"/>
      <c r="B117" s="593">
        <f>IF(F49="","",F49)</f>
      </c>
      <c r="C117" s="593"/>
      <c r="D117" s="593"/>
      <c r="E117" s="593"/>
      <c r="F117" s="41"/>
      <c r="G117" s="41"/>
      <c r="H117" s="41"/>
      <c r="I117" s="593">
        <f>IF(J49="","",J49)</f>
      </c>
      <c r="J117" s="593"/>
    </row>
    <row r="118" spans="1:10" ht="14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</row>
    <row r="124" spans="23:31" ht="14.25">
      <c r="W124" s="427" t="s">
        <v>384</v>
      </c>
      <c r="X124" s="428" t="s">
        <v>377</v>
      </c>
      <c r="Y124" s="428" t="s">
        <v>378</v>
      </c>
      <c r="Z124" s="428" t="s">
        <v>379</v>
      </c>
      <c r="AA124" s="428" t="s">
        <v>380</v>
      </c>
      <c r="AB124" s="428" t="s">
        <v>381</v>
      </c>
      <c r="AC124" s="428" t="s">
        <v>382</v>
      </c>
      <c r="AD124" s="428" t="s">
        <v>383</v>
      </c>
      <c r="AE124" s="429" t="s">
        <v>384</v>
      </c>
    </row>
    <row r="125" spans="23:31" ht="14.25">
      <c r="W125" s="430" t="s">
        <v>387</v>
      </c>
      <c r="X125" s="431" t="s">
        <v>385</v>
      </c>
      <c r="Y125" s="431" t="s">
        <v>247</v>
      </c>
      <c r="Z125" s="431" t="s">
        <v>386</v>
      </c>
      <c r="AA125" s="431" t="s">
        <v>385</v>
      </c>
      <c r="AB125" s="431"/>
      <c r="AC125" s="431"/>
      <c r="AD125" s="431"/>
      <c r="AE125" s="432" t="s">
        <v>387</v>
      </c>
    </row>
    <row r="126" spans="23:31" ht="14.25">
      <c r="W126" s="433"/>
      <c r="X126" s="434"/>
      <c r="Y126" s="434"/>
      <c r="Z126" s="434"/>
      <c r="AA126" s="434"/>
      <c r="AB126" s="434">
        <v>10</v>
      </c>
      <c r="AC126" s="434">
        <v>25</v>
      </c>
      <c r="AD126" s="434">
        <v>9</v>
      </c>
      <c r="AE126" s="435"/>
    </row>
    <row r="127" spans="23:31" ht="14.25">
      <c r="W127" s="447">
        <v>0</v>
      </c>
      <c r="X127" s="436">
        <v>52</v>
      </c>
      <c r="Y127" s="436">
        <v>0</v>
      </c>
      <c r="Z127" s="437">
        <v>0</v>
      </c>
      <c r="AA127" s="437">
        <v>0</v>
      </c>
      <c r="AB127" s="437">
        <v>0</v>
      </c>
      <c r="AC127" s="437">
        <v>0</v>
      </c>
      <c r="AD127" s="437">
        <v>0</v>
      </c>
      <c r="AE127" s="438">
        <v>0</v>
      </c>
    </row>
    <row r="128" spans="23:31" ht="14.25">
      <c r="W128" s="448">
        <v>36.2</v>
      </c>
      <c r="X128" s="439">
        <v>52</v>
      </c>
      <c r="Y128" s="439">
        <v>1</v>
      </c>
      <c r="Z128" s="440">
        <v>2.5</v>
      </c>
      <c r="AA128" s="440">
        <v>52.2</v>
      </c>
      <c r="AB128" s="440">
        <v>2</v>
      </c>
      <c r="AC128" s="440">
        <v>5</v>
      </c>
      <c r="AD128" s="440">
        <v>1.8</v>
      </c>
      <c r="AE128" s="441">
        <v>36.2</v>
      </c>
    </row>
    <row r="129" spans="23:31" ht="14.25">
      <c r="W129" s="448">
        <v>72.3</v>
      </c>
      <c r="X129" s="439">
        <v>52</v>
      </c>
      <c r="Y129" s="439">
        <v>2</v>
      </c>
      <c r="Z129" s="440">
        <v>5</v>
      </c>
      <c r="AA129" s="440">
        <v>104.4</v>
      </c>
      <c r="AB129" s="440">
        <v>4</v>
      </c>
      <c r="AC129" s="440">
        <v>10</v>
      </c>
      <c r="AD129" s="440">
        <v>3.6</v>
      </c>
      <c r="AE129" s="441">
        <v>72.3</v>
      </c>
    </row>
    <row r="130" spans="23:31" ht="14.25">
      <c r="W130" s="448">
        <v>108.5</v>
      </c>
      <c r="X130" s="439">
        <v>52</v>
      </c>
      <c r="Y130" s="439">
        <v>3</v>
      </c>
      <c r="Z130" s="440">
        <v>7.5</v>
      </c>
      <c r="AA130" s="440">
        <v>156.6</v>
      </c>
      <c r="AB130" s="440">
        <v>6</v>
      </c>
      <c r="AC130" s="440">
        <v>15</v>
      </c>
      <c r="AD130" s="440">
        <v>5.4</v>
      </c>
      <c r="AE130" s="441">
        <v>108.5</v>
      </c>
    </row>
    <row r="131" spans="23:31" ht="14.25">
      <c r="W131" s="448">
        <v>144.7</v>
      </c>
      <c r="X131" s="439">
        <v>52</v>
      </c>
      <c r="Y131" s="439">
        <v>4</v>
      </c>
      <c r="Z131" s="440">
        <v>10</v>
      </c>
      <c r="AA131" s="440">
        <v>208.8</v>
      </c>
      <c r="AB131" s="440">
        <v>8</v>
      </c>
      <c r="AC131" s="440">
        <v>20</v>
      </c>
      <c r="AD131" s="440">
        <v>7.2</v>
      </c>
      <c r="AE131" s="441">
        <v>144.7</v>
      </c>
    </row>
    <row r="132" spans="23:31" ht="14.25">
      <c r="W132" s="448">
        <v>180.8</v>
      </c>
      <c r="X132" s="439">
        <v>52</v>
      </c>
      <c r="Y132" s="439">
        <v>5</v>
      </c>
      <c r="Z132" s="440">
        <v>12.5</v>
      </c>
      <c r="AA132" s="440">
        <v>261</v>
      </c>
      <c r="AB132" s="440">
        <v>10</v>
      </c>
      <c r="AC132" s="440">
        <v>25</v>
      </c>
      <c r="AD132" s="440">
        <v>9</v>
      </c>
      <c r="AE132" s="441">
        <v>180.8</v>
      </c>
    </row>
    <row r="133" spans="23:31" ht="14.25">
      <c r="W133" s="448">
        <v>217</v>
      </c>
      <c r="X133" s="439">
        <v>52</v>
      </c>
      <c r="Y133" s="439">
        <v>6</v>
      </c>
      <c r="Z133" s="440">
        <v>15</v>
      </c>
      <c r="AA133" s="440">
        <v>313.2</v>
      </c>
      <c r="AB133" s="440">
        <v>12</v>
      </c>
      <c r="AC133" s="440">
        <v>30</v>
      </c>
      <c r="AD133" s="440">
        <v>10.8</v>
      </c>
      <c r="AE133" s="441">
        <v>217</v>
      </c>
    </row>
    <row r="134" spans="23:31" ht="14.25">
      <c r="W134" s="448">
        <v>253.2</v>
      </c>
      <c r="X134" s="439">
        <v>52</v>
      </c>
      <c r="Y134" s="439">
        <v>7</v>
      </c>
      <c r="Z134" s="440">
        <v>17.5</v>
      </c>
      <c r="AA134" s="440">
        <v>365.4</v>
      </c>
      <c r="AB134" s="440">
        <v>14</v>
      </c>
      <c r="AC134" s="440">
        <v>35</v>
      </c>
      <c r="AD134" s="440">
        <v>12.6</v>
      </c>
      <c r="AE134" s="441">
        <v>253.2</v>
      </c>
    </row>
    <row r="135" spans="23:31" ht="14.25">
      <c r="W135" s="448">
        <v>289.3</v>
      </c>
      <c r="X135" s="439">
        <v>52</v>
      </c>
      <c r="Y135" s="439">
        <v>8</v>
      </c>
      <c r="Z135" s="440">
        <v>20</v>
      </c>
      <c r="AA135" s="440">
        <v>417.6</v>
      </c>
      <c r="AB135" s="440">
        <v>16</v>
      </c>
      <c r="AC135" s="440">
        <v>40</v>
      </c>
      <c r="AD135" s="440">
        <v>14.4</v>
      </c>
      <c r="AE135" s="441">
        <v>289.3</v>
      </c>
    </row>
    <row r="136" spans="23:31" ht="14.25">
      <c r="W136" s="448">
        <v>325.5</v>
      </c>
      <c r="X136" s="439">
        <v>52</v>
      </c>
      <c r="Y136" s="439">
        <v>9</v>
      </c>
      <c r="Z136" s="440">
        <v>22.5</v>
      </c>
      <c r="AA136" s="440">
        <v>469.8</v>
      </c>
      <c r="AB136" s="440">
        <v>18</v>
      </c>
      <c r="AC136" s="440">
        <v>45</v>
      </c>
      <c r="AD136" s="440">
        <v>16.2</v>
      </c>
      <c r="AE136" s="441">
        <v>325.5</v>
      </c>
    </row>
    <row r="137" spans="23:31" ht="14.25">
      <c r="W137" s="448">
        <v>361.7</v>
      </c>
      <c r="X137" s="439">
        <v>52</v>
      </c>
      <c r="Y137" s="439">
        <v>10</v>
      </c>
      <c r="Z137" s="440">
        <v>25</v>
      </c>
      <c r="AA137" s="440">
        <v>522</v>
      </c>
      <c r="AB137" s="440">
        <v>20</v>
      </c>
      <c r="AC137" s="440">
        <v>50</v>
      </c>
      <c r="AD137" s="440">
        <v>18</v>
      </c>
      <c r="AE137" s="441">
        <v>361.7</v>
      </c>
    </row>
    <row r="138" spans="23:31" ht="14.25">
      <c r="W138" s="448">
        <v>397.8</v>
      </c>
      <c r="X138" s="439">
        <v>52</v>
      </c>
      <c r="Y138" s="439">
        <v>11</v>
      </c>
      <c r="Z138" s="440">
        <v>27.5</v>
      </c>
      <c r="AA138" s="440">
        <v>574.2</v>
      </c>
      <c r="AB138" s="440">
        <v>22</v>
      </c>
      <c r="AC138" s="440">
        <v>55</v>
      </c>
      <c r="AD138" s="440">
        <v>19.8</v>
      </c>
      <c r="AE138" s="441">
        <v>397.8</v>
      </c>
    </row>
    <row r="139" spans="23:31" ht="14.25">
      <c r="W139" s="448">
        <v>434</v>
      </c>
      <c r="X139" s="439">
        <v>52</v>
      </c>
      <c r="Y139" s="439">
        <v>12</v>
      </c>
      <c r="Z139" s="440">
        <v>30</v>
      </c>
      <c r="AA139" s="440">
        <v>626.4</v>
      </c>
      <c r="AB139" s="440">
        <v>24</v>
      </c>
      <c r="AC139" s="440">
        <v>60</v>
      </c>
      <c r="AD139" s="440">
        <v>21.6</v>
      </c>
      <c r="AE139" s="441">
        <v>434</v>
      </c>
    </row>
    <row r="140" spans="23:31" ht="14.25">
      <c r="W140" s="448">
        <v>470.2</v>
      </c>
      <c r="X140" s="439">
        <v>52</v>
      </c>
      <c r="Y140" s="439">
        <v>13</v>
      </c>
      <c r="Z140" s="440">
        <v>32.5</v>
      </c>
      <c r="AA140" s="440">
        <v>678.6</v>
      </c>
      <c r="AB140" s="440">
        <v>26</v>
      </c>
      <c r="AC140" s="440">
        <v>65</v>
      </c>
      <c r="AD140" s="440">
        <v>23.4</v>
      </c>
      <c r="AE140" s="441">
        <v>470.2</v>
      </c>
    </row>
    <row r="141" spans="23:31" ht="14.25">
      <c r="W141" s="448">
        <v>506.3</v>
      </c>
      <c r="X141" s="439">
        <v>52</v>
      </c>
      <c r="Y141" s="439">
        <v>14</v>
      </c>
      <c r="Z141" s="440">
        <v>35</v>
      </c>
      <c r="AA141" s="440">
        <v>730.8</v>
      </c>
      <c r="AB141" s="440">
        <v>28</v>
      </c>
      <c r="AC141" s="440">
        <v>70</v>
      </c>
      <c r="AD141" s="440">
        <v>25.2</v>
      </c>
      <c r="AE141" s="441">
        <v>506.3</v>
      </c>
    </row>
    <row r="142" spans="23:31" ht="14.25">
      <c r="W142" s="448">
        <v>542.5</v>
      </c>
      <c r="X142" s="439">
        <v>52</v>
      </c>
      <c r="Y142" s="439">
        <v>15</v>
      </c>
      <c r="Z142" s="440">
        <v>37.5</v>
      </c>
      <c r="AA142" s="440">
        <v>783</v>
      </c>
      <c r="AB142" s="440">
        <v>30</v>
      </c>
      <c r="AC142" s="440">
        <v>75</v>
      </c>
      <c r="AD142" s="440">
        <v>27</v>
      </c>
      <c r="AE142" s="441">
        <v>542.5</v>
      </c>
    </row>
    <row r="143" spans="23:31" ht="14.25">
      <c r="W143" s="448">
        <v>578.7</v>
      </c>
      <c r="X143" s="439">
        <v>52</v>
      </c>
      <c r="Y143" s="439">
        <v>16</v>
      </c>
      <c r="Z143" s="440">
        <v>40</v>
      </c>
      <c r="AA143" s="440">
        <v>835.2</v>
      </c>
      <c r="AB143" s="440">
        <v>32</v>
      </c>
      <c r="AC143" s="440">
        <v>80</v>
      </c>
      <c r="AD143" s="440">
        <v>28.8</v>
      </c>
      <c r="AE143" s="441">
        <v>578.7</v>
      </c>
    </row>
    <row r="144" spans="23:31" ht="14.25">
      <c r="W144" s="448">
        <v>614.8</v>
      </c>
      <c r="X144" s="439">
        <v>52</v>
      </c>
      <c r="Y144" s="439">
        <v>17</v>
      </c>
      <c r="Z144" s="440">
        <v>42.5</v>
      </c>
      <c r="AA144" s="440">
        <v>887.4</v>
      </c>
      <c r="AB144" s="440">
        <v>34</v>
      </c>
      <c r="AC144" s="440">
        <v>85</v>
      </c>
      <c r="AD144" s="440">
        <v>30.6</v>
      </c>
      <c r="AE144" s="441">
        <v>614.8</v>
      </c>
    </row>
    <row r="145" spans="23:31" ht="14.25">
      <c r="W145" s="448">
        <v>651</v>
      </c>
      <c r="X145" s="439">
        <v>52</v>
      </c>
      <c r="Y145" s="439">
        <v>18</v>
      </c>
      <c r="Z145" s="440">
        <v>45</v>
      </c>
      <c r="AA145" s="440">
        <v>939.6</v>
      </c>
      <c r="AB145" s="440">
        <v>36</v>
      </c>
      <c r="AC145" s="440">
        <v>90</v>
      </c>
      <c r="AD145" s="440">
        <v>32.4</v>
      </c>
      <c r="AE145" s="441">
        <v>651</v>
      </c>
    </row>
    <row r="146" spans="23:31" ht="14.25">
      <c r="W146" s="448">
        <v>687.2</v>
      </c>
      <c r="X146" s="439">
        <v>52</v>
      </c>
      <c r="Y146" s="439">
        <v>19</v>
      </c>
      <c r="Z146" s="440">
        <v>47.5</v>
      </c>
      <c r="AA146" s="440">
        <v>991.8</v>
      </c>
      <c r="AB146" s="440">
        <v>38</v>
      </c>
      <c r="AC146" s="440">
        <v>95</v>
      </c>
      <c r="AD146" s="440">
        <v>34.2</v>
      </c>
      <c r="AE146" s="441">
        <v>687.2</v>
      </c>
    </row>
    <row r="147" spans="23:31" ht="14.25">
      <c r="W147" s="449">
        <v>723</v>
      </c>
      <c r="X147" s="442">
        <v>52</v>
      </c>
      <c r="Y147" s="442">
        <v>20</v>
      </c>
      <c r="Z147" s="443">
        <v>50</v>
      </c>
      <c r="AA147" s="443">
        <v>1044</v>
      </c>
      <c r="AB147" s="443">
        <v>40</v>
      </c>
      <c r="AC147" s="443">
        <v>100</v>
      </c>
      <c r="AD147" s="443">
        <v>36</v>
      </c>
      <c r="AE147" s="444">
        <v>723</v>
      </c>
    </row>
  </sheetData>
  <sheetProtection password="C86A" sheet="1" selectLockedCells="1"/>
  <mergeCells count="140">
    <mergeCell ref="AH77:AH79"/>
    <mergeCell ref="J49:K49"/>
    <mergeCell ref="F48:H48"/>
    <mergeCell ref="J47:K47"/>
    <mergeCell ref="J44:K44"/>
    <mergeCell ref="AK77:AK79"/>
    <mergeCell ref="M77:M79"/>
    <mergeCell ref="N77:N79"/>
    <mergeCell ref="O77:O79"/>
    <mergeCell ref="AF77:AF79"/>
    <mergeCell ref="AG77:AG79"/>
    <mergeCell ref="F34:H34"/>
    <mergeCell ref="F30:H30"/>
    <mergeCell ref="AI77:AI79"/>
    <mergeCell ref="B10:K10"/>
    <mergeCell ref="J22:K22"/>
    <mergeCell ref="J23:K23"/>
    <mergeCell ref="F22:H22"/>
    <mergeCell ref="E63:I63"/>
    <mergeCell ref="J33:K33"/>
    <mergeCell ref="F43:H43"/>
    <mergeCell ref="F4:K4"/>
    <mergeCell ref="F5:K5"/>
    <mergeCell ref="F6:K6"/>
    <mergeCell ref="F7:K7"/>
    <mergeCell ref="F8:K8"/>
    <mergeCell ref="F13:H13"/>
    <mergeCell ref="F14:H14"/>
    <mergeCell ref="F19:H19"/>
    <mergeCell ref="F15:H15"/>
    <mergeCell ref="J29:K29"/>
    <mergeCell ref="J30:K30"/>
    <mergeCell ref="F36:H36"/>
    <mergeCell ref="J12:K12"/>
    <mergeCell ref="J13:K13"/>
    <mergeCell ref="J14:K14"/>
    <mergeCell ref="F12:H12"/>
    <mergeCell ref="F26:H26"/>
    <mergeCell ref="J35:K35"/>
    <mergeCell ref="J36:K36"/>
    <mergeCell ref="AJ77:AJ79"/>
    <mergeCell ref="F28:H28"/>
    <mergeCell ref="G77:K77"/>
    <mergeCell ref="B77:F77"/>
    <mergeCell ref="J51:K51"/>
    <mergeCell ref="F37:H37"/>
    <mergeCell ref="J34:K34"/>
    <mergeCell ref="F33:H33"/>
    <mergeCell ref="F29:H29"/>
    <mergeCell ref="F35:H35"/>
    <mergeCell ref="B56:J56"/>
    <mergeCell ref="J43:K43"/>
    <mergeCell ref="F23:H23"/>
    <mergeCell ref="F41:H41"/>
    <mergeCell ref="J37:K37"/>
    <mergeCell ref="J40:K40"/>
    <mergeCell ref="J50:K50"/>
    <mergeCell ref="J28:K28"/>
    <mergeCell ref="F40:H40"/>
    <mergeCell ref="F42:H42"/>
    <mergeCell ref="F53:G53"/>
    <mergeCell ref="J26:K26"/>
    <mergeCell ref="F16:H16"/>
    <mergeCell ref="J21:K21"/>
    <mergeCell ref="J19:K19"/>
    <mergeCell ref="J27:K27"/>
    <mergeCell ref="F21:H21"/>
    <mergeCell ref="F27:H27"/>
    <mergeCell ref="F20:H20"/>
    <mergeCell ref="J20:K20"/>
    <mergeCell ref="F94:H94"/>
    <mergeCell ref="I103:J103"/>
    <mergeCell ref="J15:K15"/>
    <mergeCell ref="J16:K16"/>
    <mergeCell ref="I97:J97"/>
    <mergeCell ref="H85:J85"/>
    <mergeCell ref="F44:H44"/>
    <mergeCell ref="F57:G57"/>
    <mergeCell ref="F58:G58"/>
    <mergeCell ref="J48:K48"/>
    <mergeCell ref="I99:J99"/>
    <mergeCell ref="B94:E94"/>
    <mergeCell ref="B59:D59"/>
    <mergeCell ref="B107:E107"/>
    <mergeCell ref="B93:E93"/>
    <mergeCell ref="I93:J93"/>
    <mergeCell ref="I94:J94"/>
    <mergeCell ref="B103:E103"/>
    <mergeCell ref="B104:E104"/>
    <mergeCell ref="F93:H93"/>
    <mergeCell ref="I104:J104"/>
    <mergeCell ref="B108:E108"/>
    <mergeCell ref="I102:J102"/>
    <mergeCell ref="F54:G54"/>
    <mergeCell ref="J41:K41"/>
    <mergeCell ref="F51:H51"/>
    <mergeCell ref="J42:K42"/>
    <mergeCell ref="F47:H47"/>
    <mergeCell ref="F50:H50"/>
    <mergeCell ref="B79:K79"/>
    <mergeCell ref="B115:E115"/>
    <mergeCell ref="B116:E116"/>
    <mergeCell ref="I116:J116"/>
    <mergeCell ref="I107:J107"/>
    <mergeCell ref="B111:E111"/>
    <mergeCell ref="B99:E99"/>
    <mergeCell ref="I111:J111"/>
    <mergeCell ref="I113:J113"/>
    <mergeCell ref="B109:E109"/>
    <mergeCell ref="I109:J109"/>
    <mergeCell ref="A90:K90"/>
    <mergeCell ref="B102:E102"/>
    <mergeCell ref="A53:E53"/>
    <mergeCell ref="G81:I81"/>
    <mergeCell ref="B117:E117"/>
    <mergeCell ref="I117:J117"/>
    <mergeCell ref="B112:E112"/>
    <mergeCell ref="B113:E113"/>
    <mergeCell ref="I112:J112"/>
    <mergeCell ref="I115:J115"/>
    <mergeCell ref="B92:E92"/>
    <mergeCell ref="F92:H92"/>
    <mergeCell ref="H84:J84"/>
    <mergeCell ref="A88:K88"/>
    <mergeCell ref="I108:J108"/>
    <mergeCell ref="F49:H49"/>
    <mergeCell ref="E65:I65"/>
    <mergeCell ref="E62:I62"/>
    <mergeCell ref="E64:I64"/>
    <mergeCell ref="I92:J92"/>
    <mergeCell ref="B97:E97"/>
    <mergeCell ref="G80:I80"/>
    <mergeCell ref="E66:I66"/>
    <mergeCell ref="B98:E98"/>
    <mergeCell ref="I98:J98"/>
    <mergeCell ref="E61:I61"/>
    <mergeCell ref="H71:K71"/>
    <mergeCell ref="H72:K72"/>
    <mergeCell ref="B78:K78"/>
    <mergeCell ref="B84:G8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0" r:id="rId1"/>
  <headerFooter>
    <oddFooter>&amp;R&amp;K00-024&amp;A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28">
      <selection activeCell="C18" sqref="C18:E19"/>
    </sheetView>
  </sheetViews>
  <sheetFormatPr defaultColWidth="9.140625" defaultRowHeight="15"/>
  <cols>
    <col min="1" max="1" width="5.7109375" style="4" customWidth="1"/>
    <col min="2" max="2" width="11.57421875" style="4" customWidth="1"/>
    <col min="3" max="3" width="9.7109375" style="4" customWidth="1"/>
    <col min="4" max="4" width="7.57421875" style="4" customWidth="1"/>
    <col min="5" max="5" width="12.28125" style="4" customWidth="1"/>
    <col min="6" max="6" width="11.00390625" style="4" customWidth="1"/>
    <col min="7" max="7" width="15.7109375" style="4" customWidth="1"/>
    <col min="8" max="8" width="13.8515625" style="4" customWidth="1"/>
    <col min="9" max="9" width="34.8515625" style="4" customWidth="1"/>
    <col min="10" max="16384" width="8.8515625" style="4" customWidth="1"/>
  </cols>
  <sheetData>
    <row r="1" spans="1:2" ht="14.25">
      <c r="A1" s="131" t="s">
        <v>364</v>
      </c>
      <c r="B1" s="132"/>
    </row>
    <row r="3" spans="1:8" ht="14.25">
      <c r="A3" s="639">
        <f>IF('obrazec 1'!H71="","",'obrazec 1'!H71)</f>
      </c>
      <c r="B3" s="639"/>
      <c r="C3" s="639"/>
      <c r="D3" s="640" t="s">
        <v>14</v>
      </c>
      <c r="E3" s="640"/>
      <c r="F3" s="640"/>
      <c r="G3" s="424">
        <f>IF('obrazec 1'!F53="","",'obrazec 1'!F53)</f>
        <v>43028</v>
      </c>
      <c r="H3" s="133" t="s">
        <v>173</v>
      </c>
    </row>
    <row r="4" spans="1:7" ht="14.25">
      <c r="A4" s="627" t="s">
        <v>365</v>
      </c>
      <c r="B4" s="627"/>
      <c r="C4" s="627"/>
      <c r="D4" s="627"/>
      <c r="G4" s="134" t="s">
        <v>357</v>
      </c>
    </row>
    <row r="5" spans="1:2" ht="14.25">
      <c r="A5" s="135"/>
      <c r="B5" s="135"/>
    </row>
    <row r="6" spans="1:2" ht="14.25">
      <c r="A6" s="135" t="s">
        <v>482</v>
      </c>
      <c r="B6" s="136"/>
    </row>
    <row r="8" spans="1:2" ht="14.25">
      <c r="A8" s="277" t="s">
        <v>336</v>
      </c>
      <c r="B8" s="138" t="s">
        <v>396</v>
      </c>
    </row>
    <row r="9" spans="2:7" ht="14.25">
      <c r="B9" s="628" t="s">
        <v>477</v>
      </c>
      <c r="C9" s="628"/>
      <c r="D9" s="628"/>
      <c r="E9" s="628"/>
      <c r="F9" s="628"/>
      <c r="G9" s="628"/>
    </row>
    <row r="10" spans="2:8" ht="18" customHeight="1">
      <c r="B10" s="629" t="s">
        <v>97</v>
      </c>
      <c r="C10" s="641"/>
      <c r="D10" s="641"/>
      <c r="E10" s="641"/>
      <c r="F10" s="636" t="s">
        <v>98</v>
      </c>
      <c r="G10" s="637"/>
      <c r="H10" s="635" t="s">
        <v>101</v>
      </c>
    </row>
    <row r="11" spans="2:8" ht="18" customHeight="1">
      <c r="B11" s="629"/>
      <c r="C11" s="642"/>
      <c r="D11" s="642"/>
      <c r="E11" s="642"/>
      <c r="F11" s="636"/>
      <c r="G11" s="638"/>
      <c r="H11" s="635"/>
    </row>
    <row r="12" spans="3:7" ht="14.25" customHeight="1">
      <c r="C12" s="630" t="s">
        <v>341</v>
      </c>
      <c r="D12" s="630"/>
      <c r="E12" s="630"/>
      <c r="F12" s="58"/>
      <c r="G12" s="139" t="s">
        <v>171</v>
      </c>
    </row>
    <row r="13" spans="5:9" ht="6" customHeight="1">
      <c r="E13" s="58"/>
      <c r="F13" s="140"/>
      <c r="G13" s="58"/>
      <c r="H13" s="58"/>
      <c r="I13" s="58"/>
    </row>
    <row r="14" spans="2:9" ht="18" customHeight="1">
      <c r="B14" s="629" t="s">
        <v>97</v>
      </c>
      <c r="C14" s="631"/>
      <c r="D14" s="631"/>
      <c r="E14" s="632"/>
      <c r="F14" s="636" t="s">
        <v>98</v>
      </c>
      <c r="G14" s="637"/>
      <c r="H14" s="635" t="s">
        <v>101</v>
      </c>
      <c r="I14" s="141"/>
    </row>
    <row r="15" spans="2:9" ht="18" customHeight="1">
      <c r="B15" s="629"/>
      <c r="C15" s="633"/>
      <c r="D15" s="633"/>
      <c r="E15" s="633"/>
      <c r="F15" s="636"/>
      <c r="G15" s="638"/>
      <c r="H15" s="635"/>
      <c r="I15" s="141"/>
    </row>
    <row r="16" spans="3:9" ht="14.25" customHeight="1">
      <c r="C16" s="630" t="s">
        <v>341</v>
      </c>
      <c r="D16" s="630"/>
      <c r="E16" s="630"/>
      <c r="F16" s="142"/>
      <c r="G16" s="139" t="s">
        <v>171</v>
      </c>
      <c r="I16" s="58"/>
    </row>
    <row r="17" spans="2:9" ht="6" customHeight="1">
      <c r="B17" s="58"/>
      <c r="C17" s="634"/>
      <c r="D17" s="634"/>
      <c r="E17" s="634"/>
      <c r="F17" s="634"/>
      <c r="G17" s="58"/>
      <c r="H17" s="58"/>
      <c r="I17" s="141"/>
    </row>
    <row r="18" spans="2:9" ht="18" customHeight="1">
      <c r="B18" s="629" t="s">
        <v>97</v>
      </c>
      <c r="C18" s="631"/>
      <c r="D18" s="631"/>
      <c r="E18" s="632"/>
      <c r="F18" s="636" t="s">
        <v>98</v>
      </c>
      <c r="G18" s="637"/>
      <c r="H18" s="635" t="s">
        <v>101</v>
      </c>
      <c r="I18" s="58"/>
    </row>
    <row r="19" spans="2:9" ht="18" customHeight="1">
      <c r="B19" s="629"/>
      <c r="C19" s="633"/>
      <c r="D19" s="633"/>
      <c r="E19" s="633"/>
      <c r="F19" s="636"/>
      <c r="G19" s="638"/>
      <c r="H19" s="635"/>
      <c r="I19" s="58"/>
    </row>
    <row r="20" spans="3:9" ht="14.25" customHeight="1">
      <c r="C20" s="630" t="s">
        <v>341</v>
      </c>
      <c r="D20" s="630"/>
      <c r="E20" s="630"/>
      <c r="F20" s="142"/>
      <c r="G20" s="139" t="s">
        <v>171</v>
      </c>
      <c r="I20" s="141"/>
    </row>
    <row r="21" spans="3:9" ht="6" customHeight="1">
      <c r="C21" s="143"/>
      <c r="D21" s="143"/>
      <c r="E21" s="58"/>
      <c r="F21" s="58"/>
      <c r="G21" s="143"/>
      <c r="I21" s="141"/>
    </row>
    <row r="22" spans="2:9" ht="18" customHeight="1">
      <c r="B22" s="629" t="s">
        <v>97</v>
      </c>
      <c r="C22" s="631"/>
      <c r="D22" s="631"/>
      <c r="E22" s="632"/>
      <c r="F22" s="636" t="s">
        <v>98</v>
      </c>
      <c r="G22" s="637"/>
      <c r="H22" s="635" t="s">
        <v>101</v>
      </c>
      <c r="I22" s="141"/>
    </row>
    <row r="23" spans="2:9" ht="18" customHeight="1">
      <c r="B23" s="629"/>
      <c r="C23" s="633"/>
      <c r="D23" s="633"/>
      <c r="E23" s="633"/>
      <c r="F23" s="636"/>
      <c r="G23" s="638"/>
      <c r="H23" s="635"/>
      <c r="I23" s="141"/>
    </row>
    <row r="24" spans="3:9" ht="14.25" customHeight="1">
      <c r="C24" s="630" t="s">
        <v>341</v>
      </c>
      <c r="D24" s="630"/>
      <c r="E24" s="630"/>
      <c r="F24" s="142"/>
      <c r="G24" s="139" t="s">
        <v>171</v>
      </c>
      <c r="I24" s="141"/>
    </row>
    <row r="25" spans="3:9" ht="6" customHeight="1">
      <c r="C25" s="143"/>
      <c r="D25" s="143"/>
      <c r="E25" s="58"/>
      <c r="F25" s="58"/>
      <c r="G25" s="143"/>
      <c r="I25" s="141"/>
    </row>
    <row r="26" spans="2:9" ht="18" customHeight="1">
      <c r="B26" s="629" t="s">
        <v>97</v>
      </c>
      <c r="C26" s="631"/>
      <c r="D26" s="631"/>
      <c r="E26" s="632"/>
      <c r="F26" s="636" t="s">
        <v>98</v>
      </c>
      <c r="G26" s="637"/>
      <c r="H26" s="635" t="s">
        <v>101</v>
      </c>
      <c r="I26" s="141"/>
    </row>
    <row r="27" spans="2:9" ht="18" customHeight="1">
      <c r="B27" s="629"/>
      <c r="C27" s="633"/>
      <c r="D27" s="633"/>
      <c r="E27" s="633"/>
      <c r="F27" s="636"/>
      <c r="G27" s="638"/>
      <c r="H27" s="635"/>
      <c r="I27" s="141"/>
    </row>
    <row r="28" spans="3:9" ht="10.5" customHeight="1">
      <c r="C28" s="630" t="s">
        <v>341</v>
      </c>
      <c r="D28" s="630"/>
      <c r="E28" s="630"/>
      <c r="F28" s="142"/>
      <c r="G28" s="139" t="s">
        <v>171</v>
      </c>
      <c r="I28" s="486"/>
    </row>
    <row r="29" spans="2:9" ht="10.5" customHeight="1">
      <c r="B29" s="143"/>
      <c r="F29" s="143"/>
      <c r="I29" s="58"/>
    </row>
    <row r="30" spans="1:9" ht="14.25">
      <c r="A30" s="300" t="s">
        <v>337</v>
      </c>
      <c r="B30" s="4" t="s">
        <v>100</v>
      </c>
      <c r="D30" s="645"/>
      <c r="E30" s="646"/>
      <c r="F30" s="367">
        <f>IF(AND(OR(C10&lt;&gt;"",C14&lt;&gt;"",C18&lt;&gt;"",C22&lt;&gt;"",C26&lt;&gt;"",G10&lt;&gt;"",G14&lt;&gt;"",G18&lt;&gt;"",G22&lt;&gt;"",G26&lt;&gt;""),D30&lt;&gt;""),"NAPAKA - če ste nezaposleni potem morajo biti obarvana polja pri točki 1 PRAZNA in pri točki 3 odgovor NE","")</f>
      </c>
      <c r="I30" s="58"/>
    </row>
    <row r="31" spans="1:9" ht="10.5" customHeight="1">
      <c r="A31" s="137"/>
      <c r="B31" s="651" t="s">
        <v>172</v>
      </c>
      <c r="C31" s="651"/>
      <c r="D31" s="651"/>
      <c r="E31" s="651"/>
      <c r="F31" s="143"/>
      <c r="I31" s="58"/>
    </row>
    <row r="32" spans="1:9" ht="10.5" customHeight="1">
      <c r="A32" s="137"/>
      <c r="B32" s="359"/>
      <c r="C32" s="359"/>
      <c r="D32" s="359"/>
      <c r="E32" s="359"/>
      <c r="F32" s="143"/>
      <c r="I32" s="58"/>
    </row>
    <row r="33" spans="1:9" ht="14.25">
      <c r="A33" s="358" t="s">
        <v>338</v>
      </c>
      <c r="B33" s="592" t="s">
        <v>461</v>
      </c>
      <c r="C33" s="592"/>
      <c r="D33" s="592"/>
      <c r="E33" s="592"/>
      <c r="F33" s="592"/>
      <c r="G33" s="361"/>
      <c r="H33" s="367">
        <f>IF(AND(OR(C10&lt;&gt;"",C14&lt;&gt;"",C18&lt;&gt;"",C22&lt;&gt;"",C26&lt;&gt;"",G10&lt;&gt;"",G14&lt;&gt;"",G18&lt;&gt;"",G22&lt;&gt;"",G26&lt;&gt;"",D30&lt;&gt;""),G33="DA"),"NAPAKA - če ste zaposleni samo v ZŽS potem morajo biti obarvana polja pri točki 1 in 2 PRAZNA","")</f>
      </c>
      <c r="I33" s="58"/>
    </row>
    <row r="34" spans="1:9" ht="10.5" customHeight="1">
      <c r="A34" s="137"/>
      <c r="B34" s="359"/>
      <c r="C34" s="359"/>
      <c r="D34" s="359"/>
      <c r="E34" s="359"/>
      <c r="F34" s="143"/>
      <c r="G34" s="485" t="s">
        <v>355</v>
      </c>
      <c r="I34" s="58"/>
    </row>
    <row r="35" spans="1:9" ht="14.25">
      <c r="A35" s="137"/>
      <c r="B35" s="526" t="s">
        <v>434</v>
      </c>
      <c r="C35" s="526"/>
      <c r="D35" s="526"/>
      <c r="E35" s="525"/>
      <c r="F35" s="644"/>
      <c r="G35" s="644"/>
      <c r="H35" s="488">
        <f>IF(F35+G10+G14+G18+G22+G26&gt;100,"NAPAKA - celotna delovna obveznost znaša več kot 100%. Iz zapisa pod točko 1 izločite delež zaposlitve v ZŽS 2015-2017 !!!","")</f>
      </c>
      <c r="I35" s="58"/>
    </row>
    <row r="36" spans="1:9" ht="10.5" customHeight="1">
      <c r="A36" s="137"/>
      <c r="B36" s="487"/>
      <c r="C36" s="487"/>
      <c r="D36" s="487"/>
      <c r="F36" s="650" t="s">
        <v>415</v>
      </c>
      <c r="G36" s="650"/>
      <c r="I36" s="58"/>
    </row>
    <row r="37" spans="1:9" ht="10.5" customHeight="1">
      <c r="A37" s="137"/>
      <c r="D37" s="79"/>
      <c r="E37" s="79"/>
      <c r="F37" s="143"/>
      <c r="I37" s="58"/>
    </row>
    <row r="38" spans="1:9" ht="14.25">
      <c r="A38" s="358" t="s">
        <v>339</v>
      </c>
      <c r="B38" s="135" t="s">
        <v>370</v>
      </c>
      <c r="G38" s="523"/>
      <c r="H38" s="4" t="s">
        <v>349</v>
      </c>
      <c r="I38" s="58"/>
    </row>
    <row r="39" spans="1:9" ht="10.5" customHeight="1">
      <c r="A39" s="137"/>
      <c r="B39" s="367">
        <f>IF(AND(A3&lt;&gt;"",G38=""),"NAPAKA - v polje pri točki 4. obvezno vpišite ustrezno stopnjo izobrazbe !","")</f>
      </c>
      <c r="G39" s="134" t="s">
        <v>251</v>
      </c>
      <c r="H39" s="256">
        <f>IF(G38="","",IF(OR(G38="VI",G38="VII/1",G38="VII/2"),"","NAPAKA: ni vpisana prava oznaka. POPRAVITE !"))</f>
      </c>
      <c r="I39" s="58"/>
    </row>
    <row r="40" ht="10.5" customHeight="1">
      <c r="I40" s="58"/>
    </row>
    <row r="41" spans="1:9" ht="14.25">
      <c r="A41" s="358" t="s">
        <v>354</v>
      </c>
      <c r="B41" s="138" t="s">
        <v>18</v>
      </c>
      <c r="D41" s="646"/>
      <c r="E41" s="646"/>
      <c r="F41" s="646"/>
      <c r="G41" s="653" t="s">
        <v>369</v>
      </c>
      <c r="H41" s="587"/>
      <c r="I41" s="58"/>
    </row>
    <row r="42" spans="1:9" ht="10.5" customHeight="1">
      <c r="A42" s="137"/>
      <c r="D42" s="610" t="s">
        <v>252</v>
      </c>
      <c r="E42" s="652"/>
      <c r="F42" s="652"/>
      <c r="H42" s="256">
        <f>IF(D41="","",IF(OR(D41="BREZ",D41="MENTOR",D41="SVETOVALEC",D41="SVETNIK"),"","NAPAKA: napačno črkovanje oziroma ni vpisana prava beseda. POPRAVITE !"))</f>
      </c>
      <c r="I42" s="58"/>
    </row>
    <row r="43" spans="1:9" ht="10.5" customHeight="1">
      <c r="A43" s="137"/>
      <c r="B43" s="367">
        <f>IF(AND(A3&lt;&gt;"",D41=""),"NAPAKA - v polje pri točki 5. obvezno vpišite eno od možnosti za doseženi naziv !","")</f>
      </c>
      <c r="D43" s="362"/>
      <c r="E43" s="363"/>
      <c r="F43" s="363"/>
      <c r="H43" s="256"/>
      <c r="I43" s="58"/>
    </row>
    <row r="44" spans="1:9" ht="14.25">
      <c r="A44" s="358" t="s">
        <v>356</v>
      </c>
      <c r="B44" s="643" t="s">
        <v>472</v>
      </c>
      <c r="C44" s="643"/>
      <c r="D44" s="643"/>
      <c r="E44" s="643"/>
      <c r="F44" s="643"/>
      <c r="G44" s="361"/>
      <c r="I44" s="58"/>
    </row>
    <row r="45" spans="1:9" ht="10.5" customHeight="1">
      <c r="A45" s="137"/>
      <c r="B45" s="647" t="s">
        <v>366</v>
      </c>
      <c r="C45" s="647"/>
      <c r="D45" s="647"/>
      <c r="E45" s="647"/>
      <c r="F45" s="647"/>
      <c r="G45" s="534" t="s">
        <v>355</v>
      </c>
      <c r="I45" s="58"/>
    </row>
    <row r="46" spans="1:9" ht="10.5" customHeight="1">
      <c r="A46" s="137"/>
      <c r="B46" s="367">
        <f>IF(AND(A3&lt;&gt;"",G44=""),"NAPAKA - v polje pri točki 6. obvezno vpišite DA oz. NE !","")</f>
      </c>
      <c r="D46" s="79"/>
      <c r="E46" s="79"/>
      <c r="F46" s="143"/>
      <c r="I46" s="141"/>
    </row>
    <row r="47" spans="1:2" ht="14.25">
      <c r="A47" s="138" t="s">
        <v>20</v>
      </c>
      <c r="B47" s="138"/>
    </row>
    <row r="48" ht="8.25" customHeight="1"/>
    <row r="49" ht="8.25" customHeight="1"/>
    <row r="50" spans="1:6" ht="14.25">
      <c r="A50" s="138" t="s">
        <v>367</v>
      </c>
      <c r="B50" s="138"/>
      <c r="F50" s="138" t="s">
        <v>21</v>
      </c>
    </row>
    <row r="51" spans="1:6" ht="14.25">
      <c r="A51" s="138"/>
      <c r="B51" s="138"/>
      <c r="F51" s="138"/>
    </row>
    <row r="52" spans="1:7" ht="14.25">
      <c r="A52" s="648">
        <f>IF('obrazec 1'!F4="","",'obrazec 1'!F4)</f>
      </c>
      <c r="B52" s="648"/>
      <c r="C52" s="648"/>
      <c r="F52" s="608">
        <f>IF('obrazec 2'!A3="","",'obrazec 2'!A3)</f>
      </c>
      <c r="G52" s="608"/>
    </row>
    <row r="53" spans="1:7" ht="14.25">
      <c r="A53" s="639">
        <f>IF('obrazec 1'!F6="","",'obrazec 1'!F6)</f>
      </c>
      <c r="B53" s="639"/>
      <c r="C53" s="639"/>
      <c r="D53" s="58"/>
      <c r="F53" s="649"/>
      <c r="G53" s="649"/>
    </row>
  </sheetData>
  <sheetProtection password="C86A" sheet="1" selectLockedCells="1"/>
  <mergeCells count="48">
    <mergeCell ref="B45:F45"/>
    <mergeCell ref="A52:C52"/>
    <mergeCell ref="F52:G53"/>
    <mergeCell ref="A53:C53"/>
    <mergeCell ref="F36:G36"/>
    <mergeCell ref="B31:E31"/>
    <mergeCell ref="D42:F42"/>
    <mergeCell ref="D41:F41"/>
    <mergeCell ref="G41:H41"/>
    <mergeCell ref="B33:F33"/>
    <mergeCell ref="C12:E12"/>
    <mergeCell ref="C10:E11"/>
    <mergeCell ref="C18:E19"/>
    <mergeCell ref="B44:F44"/>
    <mergeCell ref="F35:G35"/>
    <mergeCell ref="D30:E30"/>
    <mergeCell ref="G26:G27"/>
    <mergeCell ref="F26:F27"/>
    <mergeCell ref="H14:H15"/>
    <mergeCell ref="H22:H23"/>
    <mergeCell ref="H26:H27"/>
    <mergeCell ref="G22:G23"/>
    <mergeCell ref="A3:C3"/>
    <mergeCell ref="D3:F3"/>
    <mergeCell ref="C16:E16"/>
    <mergeCell ref="B26:B27"/>
    <mergeCell ref="C22:E23"/>
    <mergeCell ref="F22:F23"/>
    <mergeCell ref="H10:H11"/>
    <mergeCell ref="B14:B15"/>
    <mergeCell ref="C14:E15"/>
    <mergeCell ref="F14:F15"/>
    <mergeCell ref="G14:G15"/>
    <mergeCell ref="H18:H19"/>
    <mergeCell ref="F18:F19"/>
    <mergeCell ref="G18:G19"/>
    <mergeCell ref="F10:F11"/>
    <mergeCell ref="G10:G11"/>
    <mergeCell ref="A4:D4"/>
    <mergeCell ref="B9:G9"/>
    <mergeCell ref="B10:B11"/>
    <mergeCell ref="C28:E28"/>
    <mergeCell ref="C20:E20"/>
    <mergeCell ref="B22:B23"/>
    <mergeCell ref="C24:E24"/>
    <mergeCell ref="C26:E27"/>
    <mergeCell ref="C17:F17"/>
    <mergeCell ref="B18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&amp;R&amp;K00-024&amp;A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PageLayoutView="0" workbookViewId="0" topLeftCell="A52">
      <selection activeCell="B23" sqref="B23:C23"/>
    </sheetView>
  </sheetViews>
  <sheetFormatPr defaultColWidth="9.140625" defaultRowHeight="15"/>
  <cols>
    <col min="1" max="1" width="16.8515625" style="4" customWidth="1"/>
    <col min="2" max="2" width="22.140625" style="4" customWidth="1"/>
    <col min="3" max="3" width="9.8515625" style="4" customWidth="1"/>
    <col min="4" max="4" width="16.28125" style="4" customWidth="1"/>
    <col min="5" max="5" width="22.140625" style="4" customWidth="1"/>
    <col min="6" max="6" width="11.421875" style="4" customWidth="1"/>
    <col min="7" max="16384" width="9.140625" style="4" customWidth="1"/>
  </cols>
  <sheetData>
    <row r="1" spans="1:7" ht="14.25">
      <c r="A1" s="587" t="s">
        <v>473</v>
      </c>
      <c r="B1" s="587"/>
      <c r="C1" s="587"/>
      <c r="D1" s="587"/>
      <c r="E1" s="587"/>
      <c r="F1" s="587"/>
      <c r="G1" s="587"/>
    </row>
    <row r="3" spans="1:3" ht="14.25">
      <c r="A3" s="138" t="s">
        <v>22</v>
      </c>
      <c r="B3" s="659">
        <f>IF('obrazec 1'!F4&lt;&gt;"",'obrazec 1'!F4,"")</f>
      </c>
      <c r="C3" s="659"/>
    </row>
    <row r="4" spans="1:3" ht="14.25">
      <c r="A4" s="138" t="s">
        <v>23</v>
      </c>
      <c r="B4" s="660">
        <f>IF('obrazec 1'!F5&lt;&gt;"",'obrazec 1'!F5,"")</f>
      </c>
      <c r="C4" s="660"/>
    </row>
    <row r="5" spans="1:3" ht="14.25">
      <c r="A5" s="138" t="s">
        <v>24</v>
      </c>
      <c r="B5" s="660">
        <f>IF('obrazec 1'!F6&lt;&gt;"",'obrazec 1'!F6,"")</f>
      </c>
      <c r="C5" s="660"/>
    </row>
    <row r="6" spans="1:3" ht="14.25">
      <c r="A6" s="138" t="s">
        <v>25</v>
      </c>
      <c r="B6" s="660">
        <f>IF('obrazec 1'!F7&lt;&gt;"",'obrazec 1'!F7,"")</f>
      </c>
      <c r="C6" s="660"/>
    </row>
    <row r="7" spans="1:3" ht="14.25">
      <c r="A7" s="138" t="s">
        <v>26</v>
      </c>
      <c r="B7" s="660">
        <f>IF('obrazec 1'!F8&lt;&gt;"",'obrazec 1'!F8,"")</f>
      </c>
      <c r="C7" s="660"/>
    </row>
    <row r="9" ht="14.25">
      <c r="A9" s="138" t="s">
        <v>37</v>
      </c>
    </row>
    <row r="11" spans="1:6" ht="14.25">
      <c r="A11" s="138" t="s">
        <v>413</v>
      </c>
      <c r="B11" s="659">
        <f>IF('obrazec 1'!F12="","",'obrazec 1'!F12)</f>
      </c>
      <c r="C11" s="659"/>
      <c r="D11" s="138" t="s">
        <v>30</v>
      </c>
      <c r="E11" s="659">
        <f>IF('obrazec 1'!J12="","",'obrazec 1'!J12)</f>
      </c>
      <c r="F11" s="659"/>
    </row>
    <row r="12" spans="1:6" ht="14.25">
      <c r="A12" s="138" t="s">
        <v>27</v>
      </c>
      <c r="B12" s="659">
        <f>IF('obrazec 1'!F13="","",'obrazec 1'!F13)</f>
      </c>
      <c r="C12" s="659"/>
      <c r="D12" s="138" t="s">
        <v>23</v>
      </c>
      <c r="E12" s="659">
        <f>IF('obrazec 1'!J13="","",'obrazec 1'!J13)</f>
      </c>
      <c r="F12" s="659"/>
    </row>
    <row r="13" spans="1:6" ht="14.25">
      <c r="A13" s="138" t="s">
        <v>28</v>
      </c>
      <c r="B13" s="659">
        <f>IF('obrazec 1'!F14="","",'obrazec 1'!F14)</f>
      </c>
      <c r="C13" s="659"/>
      <c r="D13" s="138" t="s">
        <v>24</v>
      </c>
      <c r="E13" s="659">
        <f>IF('obrazec 1'!J14="","",'obrazec 1'!J14)</f>
      </c>
      <c r="F13" s="659"/>
    </row>
    <row r="14" spans="1:6" ht="14.25">
      <c r="A14" s="138" t="s">
        <v>25</v>
      </c>
      <c r="B14" s="659">
        <f>IF('obrazec 1'!F15="","",'obrazec 1'!F15)</f>
      </c>
      <c r="C14" s="659"/>
      <c r="D14" s="138" t="s">
        <v>25</v>
      </c>
      <c r="E14" s="659">
        <f>IF('obrazec 1'!J15="","",'obrazec 1'!J15)</f>
      </c>
      <c r="F14" s="659"/>
    </row>
    <row r="15" spans="1:6" ht="14.25">
      <c r="A15" s="138" t="s">
        <v>29</v>
      </c>
      <c r="B15" s="659">
        <f>IF('obrazec 1'!F16="","",'obrazec 1'!F16)</f>
      </c>
      <c r="C15" s="659"/>
      <c r="D15" s="138" t="s">
        <v>26</v>
      </c>
      <c r="E15" s="659">
        <f>IF('obrazec 1'!J16="","",'obrazec 1'!J16)</f>
      </c>
      <c r="F15" s="659"/>
    </row>
    <row r="17" spans="1:6" ht="14.25">
      <c r="A17" s="138" t="s">
        <v>30</v>
      </c>
      <c r="B17" s="659">
        <f>IF('obrazec 1'!F47="","",'obrazec 1'!F47)</f>
      </c>
      <c r="C17" s="659"/>
      <c r="D17" s="138" t="s">
        <v>30</v>
      </c>
      <c r="E17" s="659">
        <f>IF('obrazec 1'!J47="","",'obrazec 1'!J47)</f>
      </c>
      <c r="F17" s="659"/>
    </row>
    <row r="18" spans="1:6" ht="14.25">
      <c r="A18" s="138" t="s">
        <v>23</v>
      </c>
      <c r="B18" s="659">
        <f>IF('obrazec 1'!F48="","",'obrazec 1'!F48)</f>
      </c>
      <c r="C18" s="659"/>
      <c r="D18" s="138" t="s">
        <v>23</v>
      </c>
      <c r="E18" s="659">
        <f>IF('obrazec 1'!J48="","",'obrazec 1'!J48)</f>
      </c>
      <c r="F18" s="659"/>
    </row>
    <row r="19" spans="1:6" ht="14.25">
      <c r="A19" s="138" t="s">
        <v>24</v>
      </c>
      <c r="B19" s="659">
        <f>IF('obrazec 1'!F49="","",'obrazec 1'!F49)</f>
      </c>
      <c r="C19" s="659"/>
      <c r="D19" s="138" t="s">
        <v>24</v>
      </c>
      <c r="E19" s="659">
        <f>IF('obrazec 1'!J49="","",'obrazec 1'!J49)</f>
      </c>
      <c r="F19" s="659"/>
    </row>
    <row r="20" spans="1:6" ht="14.25">
      <c r="A20" s="138" t="s">
        <v>25</v>
      </c>
      <c r="B20" s="659">
        <f>IF('obrazec 1'!F50="","",'obrazec 1'!F50)</f>
      </c>
      <c r="C20" s="659"/>
      <c r="D20" s="138" t="s">
        <v>25</v>
      </c>
      <c r="E20" s="659">
        <f>IF('obrazec 1'!J50="","",'obrazec 1'!J50)</f>
      </c>
      <c r="F20" s="659"/>
    </row>
    <row r="21" spans="1:6" ht="14.25">
      <c r="A21" s="138" t="s">
        <v>26</v>
      </c>
      <c r="B21" s="659">
        <f>IF('obrazec 1'!F51="","",'obrazec 1'!F51)</f>
      </c>
      <c r="C21" s="659"/>
      <c r="D21" s="138" t="s">
        <v>26</v>
      </c>
      <c r="E21" s="659">
        <f>IF('obrazec 1'!J51="","",'obrazec 1'!J51)</f>
      </c>
      <c r="F21" s="659"/>
    </row>
    <row r="23" spans="1:6" ht="14.25">
      <c r="A23" s="138" t="s">
        <v>30</v>
      </c>
      <c r="B23" s="661"/>
      <c r="C23" s="661"/>
      <c r="D23" s="138" t="s">
        <v>30</v>
      </c>
      <c r="E23" s="661"/>
      <c r="F23" s="661"/>
    </row>
    <row r="24" spans="1:6" ht="14.25">
      <c r="A24" s="138" t="s">
        <v>23</v>
      </c>
      <c r="B24" s="661"/>
      <c r="C24" s="661"/>
      <c r="D24" s="138" t="s">
        <v>23</v>
      </c>
      <c r="E24" s="661"/>
      <c r="F24" s="661"/>
    </row>
    <row r="25" spans="1:6" ht="14.25">
      <c r="A25" s="138" t="s">
        <v>24</v>
      </c>
      <c r="B25" s="661"/>
      <c r="C25" s="661"/>
      <c r="D25" s="138" t="s">
        <v>24</v>
      </c>
      <c r="E25" s="661"/>
      <c r="F25" s="661"/>
    </row>
    <row r="26" spans="1:6" ht="14.25">
      <c r="A26" s="138" t="s">
        <v>25</v>
      </c>
      <c r="B26" s="661"/>
      <c r="C26" s="661"/>
      <c r="D26" s="138" t="s">
        <v>25</v>
      </c>
      <c r="E26" s="661"/>
      <c r="F26" s="661"/>
    </row>
    <row r="27" spans="1:6" ht="14.25">
      <c r="A27" s="138" t="s">
        <v>26</v>
      </c>
      <c r="B27" s="661"/>
      <c r="C27" s="661"/>
      <c r="D27" s="138" t="s">
        <v>26</v>
      </c>
      <c r="E27" s="661"/>
      <c r="F27" s="661"/>
    </row>
    <row r="29" spans="1:4" ht="14.25">
      <c r="A29" s="138" t="s">
        <v>167</v>
      </c>
      <c r="B29" s="639">
        <f>IF('obrazec 1'!H71="","",'obrazec 1'!H71)</f>
      </c>
      <c r="C29" s="639"/>
      <c r="D29" s="4" t="s">
        <v>474</v>
      </c>
    </row>
    <row r="30" spans="2:3" ht="14.25">
      <c r="B30" s="610" t="s">
        <v>168</v>
      </c>
      <c r="C30" s="610"/>
    </row>
    <row r="32" spans="1:5" ht="14.25">
      <c r="A32" s="138" t="s">
        <v>38</v>
      </c>
      <c r="B32" s="483">
        <f>IF('obrazec 1'!F3="DA",B3,IF(AND('obrazec 1'!F3="NE",E11=""),"",E11))</f>
      </c>
      <c r="C32" s="484" t="s">
        <v>416</v>
      </c>
      <c r="D32" s="144"/>
      <c r="E32" s="4" t="s">
        <v>397</v>
      </c>
    </row>
    <row r="33" spans="1:4" ht="14.25">
      <c r="A33" s="168"/>
      <c r="B33" s="134" t="s">
        <v>169</v>
      </c>
      <c r="C33" s="168"/>
      <c r="D33" s="134" t="s">
        <v>170</v>
      </c>
    </row>
    <row r="34" spans="1:3" ht="14.25">
      <c r="A34" s="168"/>
      <c r="C34" s="168"/>
    </row>
    <row r="35" spans="1:5" ht="14.25">
      <c r="A35" s="138" t="s">
        <v>38</v>
      </c>
      <c r="B35" s="483">
        <f>IF('obrazec 1'!F3="DA",E11,IF(AND('obrazec 1'!F3="NE",B17=""),"",B17))</f>
      </c>
      <c r="C35" s="4" t="s">
        <v>416</v>
      </c>
      <c r="D35" s="144"/>
      <c r="E35" s="4" t="s">
        <v>397</v>
      </c>
    </row>
    <row r="36" spans="1:4" ht="14.25">
      <c r="A36" s="168"/>
      <c r="B36" s="134" t="s">
        <v>169</v>
      </c>
      <c r="C36" s="168"/>
      <c r="D36" s="134" t="s">
        <v>170</v>
      </c>
    </row>
    <row r="37" spans="1:3" ht="14.25">
      <c r="A37" s="168"/>
      <c r="C37" s="168"/>
    </row>
    <row r="38" spans="1:5" ht="14.25">
      <c r="A38" s="138" t="s">
        <v>38</v>
      </c>
      <c r="B38" s="483">
        <f>IF('obrazec 1'!F3="DA",B17,IF(AND('obrazec 1'!F3="NE",E17=""),"",E17))</f>
      </c>
      <c r="C38" s="4" t="s">
        <v>416</v>
      </c>
      <c r="D38" s="144"/>
      <c r="E38" s="4" t="s">
        <v>397</v>
      </c>
    </row>
    <row r="39" spans="1:4" ht="14.25">
      <c r="A39" s="168"/>
      <c r="B39" s="134" t="s">
        <v>169</v>
      </c>
      <c r="C39" s="168"/>
      <c r="D39" s="134" t="s">
        <v>170</v>
      </c>
    </row>
    <row r="40" spans="1:3" ht="14.25">
      <c r="A40" s="168"/>
      <c r="C40" s="168"/>
    </row>
    <row r="41" spans="1:5" ht="14.25">
      <c r="A41" s="138" t="s">
        <v>38</v>
      </c>
      <c r="B41" s="483">
        <f>IF('obrazec 1'!F3="DA",E17,IF(AND('obrazec 1'!F3="NE",B23=""),"",IF(B23="","",B23)))</f>
      </c>
      <c r="C41" s="4" t="s">
        <v>416</v>
      </c>
      <c r="D41" s="144"/>
      <c r="E41" s="4" t="s">
        <v>397</v>
      </c>
    </row>
    <row r="42" spans="1:4" ht="14.25">
      <c r="A42" s="168"/>
      <c r="B42" s="134" t="s">
        <v>169</v>
      </c>
      <c r="C42" s="168"/>
      <c r="D42" s="134" t="s">
        <v>170</v>
      </c>
    </row>
    <row r="43" spans="1:3" ht="14.25">
      <c r="A43" s="168"/>
      <c r="C43" s="168"/>
    </row>
    <row r="44" spans="1:5" ht="14.25">
      <c r="A44" s="138" t="s">
        <v>38</v>
      </c>
      <c r="B44" s="483">
        <f>IF('obrazec 1'!F3="DA",B23,IF(AND('obrazec 1'!F3="NE",E23=""),"",IF(E23="","",E23)))</f>
      </c>
      <c r="C44" s="4" t="s">
        <v>416</v>
      </c>
      <c r="D44" s="144"/>
      <c r="E44" s="4" t="s">
        <v>397</v>
      </c>
    </row>
    <row r="45" spans="2:4" ht="14.25">
      <c r="B45" s="134" t="s">
        <v>169</v>
      </c>
      <c r="D45" s="134" t="s">
        <v>170</v>
      </c>
    </row>
    <row r="46" spans="2:4" ht="14.25">
      <c r="B46" s="134"/>
      <c r="D46" s="134"/>
    </row>
    <row r="47" spans="1:5" ht="14.25">
      <c r="A47" s="138" t="s">
        <v>38</v>
      </c>
      <c r="B47" s="483">
        <f>IF('obrazec 1'!F3="DA",E23,"")</f>
      </c>
      <c r="C47" s="4" t="s">
        <v>416</v>
      </c>
      <c r="D47" s="475"/>
      <c r="E47" s="4" t="s">
        <v>397</v>
      </c>
    </row>
    <row r="48" spans="2:4" ht="14.25">
      <c r="B48" s="134" t="s">
        <v>169</v>
      </c>
      <c r="D48" s="134" t="s">
        <v>170</v>
      </c>
    </row>
    <row r="50" ht="14.25">
      <c r="A50" s="138" t="s">
        <v>475</v>
      </c>
    </row>
    <row r="52" ht="14.25">
      <c r="A52" s="489">
        <f>IF(AND((D32+D35+D38+D41+D44+D47)=0,OR('obrazec 1'!H73=0,'obrazec 1'!H73="")),"",IF((D32+D35+D38+D41+D44+D47)='obrazec 1'!H73,"","NAPAKA - seštevek števila ur programa na posameznih šolah se ne ujema s skupnim številom ur razvidnih iz obrazcev 6,7 in 8. Seštevek ur se mora na koncu ujemati tudi s številom ur na obrazcu 1. POPRAVITE !!!"))</f>
      </c>
    </row>
    <row r="54" spans="1:5" ht="15" customHeight="1">
      <c r="A54" s="588" t="s">
        <v>412</v>
      </c>
      <c r="B54" s="588"/>
      <c r="D54" s="635" t="s">
        <v>36</v>
      </c>
      <c r="E54" s="635"/>
    </row>
    <row r="55" spans="1:5" ht="14.25">
      <c r="A55" s="588"/>
      <c r="B55" s="588"/>
      <c r="D55" s="635"/>
      <c r="E55" s="635"/>
    </row>
    <row r="56" spans="1:5" ht="14.25">
      <c r="A56" s="588"/>
      <c r="B56" s="588"/>
      <c r="D56" s="635"/>
      <c r="E56" s="635"/>
    </row>
    <row r="57" spans="1:5" ht="14.25">
      <c r="A57" s="657">
        <f>IF(B3="","",B11)</f>
      </c>
      <c r="B57" s="657"/>
      <c r="D57" s="655">
        <f>IF(B3="","",B3)</f>
      </c>
      <c r="E57" s="655"/>
    </row>
    <row r="58" spans="1:5" ht="14.25">
      <c r="A58" s="656">
        <f>IF(B5="","",B13)</f>
      </c>
      <c r="B58" s="656"/>
      <c r="D58" s="654">
        <f>IF(B5="","",B5)</f>
      </c>
      <c r="E58" s="654"/>
    </row>
    <row r="59" spans="1:2" ht="14.25">
      <c r="A59" s="172"/>
      <c r="B59" s="172"/>
    </row>
    <row r="60" spans="1:2" ht="14.25">
      <c r="A60" s="172"/>
      <c r="B60" s="172"/>
    </row>
    <row r="63" spans="1:5" ht="15" customHeight="1">
      <c r="A63" s="658" t="s">
        <v>368</v>
      </c>
      <c r="B63" s="658"/>
      <c r="D63" s="658" t="s">
        <v>368</v>
      </c>
      <c r="E63" s="658"/>
    </row>
    <row r="64" spans="1:5" ht="14.25">
      <c r="A64" s="658"/>
      <c r="B64" s="658"/>
      <c r="D64" s="658"/>
      <c r="E64" s="658"/>
    </row>
    <row r="65" spans="1:5" ht="14.25">
      <c r="A65" s="657">
        <f>IF(E11="","",E11)</f>
      </c>
      <c r="B65" s="657"/>
      <c r="D65" s="657">
        <f>IF(B17="","",B17)</f>
      </c>
      <c r="E65" s="657"/>
    </row>
    <row r="66" spans="1:5" ht="14.25">
      <c r="A66" s="656">
        <f>IF(E13="","",E13)</f>
      </c>
      <c r="B66" s="656"/>
      <c r="D66" s="656">
        <f>IF(B19="","",B19)</f>
      </c>
      <c r="E66" s="656"/>
    </row>
    <row r="67" spans="1:5" ht="14.25">
      <c r="A67" s="173"/>
      <c r="B67" s="173"/>
      <c r="D67" s="173"/>
      <c r="E67" s="173"/>
    </row>
    <row r="68" spans="1:2" ht="14.25">
      <c r="A68" s="174"/>
      <c r="B68" s="174"/>
    </row>
    <row r="71" spans="1:5" ht="14.25" customHeight="1">
      <c r="A71" s="658" t="s">
        <v>368</v>
      </c>
      <c r="B71" s="658"/>
      <c r="D71" s="658" t="s">
        <v>368</v>
      </c>
      <c r="E71" s="658"/>
    </row>
    <row r="72" spans="1:5" ht="14.25">
      <c r="A72" s="658"/>
      <c r="B72" s="658"/>
      <c r="D72" s="658"/>
      <c r="E72" s="658"/>
    </row>
    <row r="73" spans="1:5" ht="14.25">
      <c r="A73" s="657">
        <f>IF(E17="","",E17)</f>
      </c>
      <c r="B73" s="657"/>
      <c r="D73" s="657">
        <f>IF(B23="","",B23)</f>
      </c>
      <c r="E73" s="657"/>
    </row>
    <row r="74" spans="1:5" ht="14.25">
      <c r="A74" s="656">
        <f>IF(E19="","",E19)</f>
      </c>
      <c r="B74" s="656"/>
      <c r="D74" s="656">
        <f>IF(B25="","",B25)</f>
      </c>
      <c r="E74" s="656"/>
    </row>
    <row r="75" spans="1:5" ht="14.25">
      <c r="A75" s="173"/>
      <c r="B75" s="173"/>
      <c r="D75" s="173"/>
      <c r="E75" s="173"/>
    </row>
    <row r="79" spans="1:2" ht="14.25" customHeight="1">
      <c r="A79" s="658" t="s">
        <v>368</v>
      </c>
      <c r="B79" s="658"/>
    </row>
    <row r="80" spans="1:2" ht="14.25">
      <c r="A80" s="658"/>
      <c r="B80" s="658"/>
    </row>
    <row r="81" spans="1:2" ht="14.25">
      <c r="A81" s="655">
        <f>IF(E23="","",E23)</f>
      </c>
      <c r="B81" s="655"/>
    </row>
    <row r="82" spans="1:2" ht="14.25">
      <c r="A82" s="654">
        <f>IF(E25="","",E25)</f>
      </c>
      <c r="B82" s="654"/>
    </row>
  </sheetData>
  <sheetProtection password="C86A" sheet="1" selectLockedCells="1"/>
  <mergeCells count="59">
    <mergeCell ref="A1:G1"/>
    <mergeCell ref="D63:E64"/>
    <mergeCell ref="B27:C27"/>
    <mergeCell ref="E25:F25"/>
    <mergeCell ref="B24:C24"/>
    <mergeCell ref="B29:C29"/>
    <mergeCell ref="B30:C30"/>
    <mergeCell ref="B15:C15"/>
    <mergeCell ref="A63:B64"/>
    <mergeCell ref="D58:E58"/>
    <mergeCell ref="E11:F11"/>
    <mergeCell ref="D54:E56"/>
    <mergeCell ref="B25:C25"/>
    <mergeCell ref="E26:F26"/>
    <mergeCell ref="B26:C26"/>
    <mergeCell ref="E27:F27"/>
    <mergeCell ref="A54:B56"/>
    <mergeCell ref="B12:C12"/>
    <mergeCell ref="B11:C11"/>
    <mergeCell ref="E13:F13"/>
    <mergeCell ref="E12:F12"/>
    <mergeCell ref="E24:F24"/>
    <mergeCell ref="B21:C21"/>
    <mergeCell ref="B13:C13"/>
    <mergeCell ref="B14:C14"/>
    <mergeCell ref="E15:F15"/>
    <mergeCell ref="E17:F17"/>
    <mergeCell ref="E21:F21"/>
    <mergeCell ref="E23:F23"/>
    <mergeCell ref="B19:C19"/>
    <mergeCell ref="B17:C17"/>
    <mergeCell ref="A79:B80"/>
    <mergeCell ref="A66:B66"/>
    <mergeCell ref="A65:B65"/>
    <mergeCell ref="E14:F14"/>
    <mergeCell ref="B20:C20"/>
    <mergeCell ref="E20:F20"/>
    <mergeCell ref="D57:E57"/>
    <mergeCell ref="A57:B57"/>
    <mergeCell ref="A58:B58"/>
    <mergeCell ref="B3:C3"/>
    <mergeCell ref="B4:C4"/>
    <mergeCell ref="B5:C5"/>
    <mergeCell ref="B6:C6"/>
    <mergeCell ref="B7:C7"/>
    <mergeCell ref="D71:E72"/>
    <mergeCell ref="B18:C18"/>
    <mergeCell ref="E18:F18"/>
    <mergeCell ref="E19:F19"/>
    <mergeCell ref="B23:C23"/>
    <mergeCell ref="A82:B82"/>
    <mergeCell ref="A81:B81"/>
    <mergeCell ref="D66:E66"/>
    <mergeCell ref="D65:E65"/>
    <mergeCell ref="A74:B74"/>
    <mergeCell ref="A73:B73"/>
    <mergeCell ref="D74:E74"/>
    <mergeCell ref="D73:E73"/>
    <mergeCell ref="A71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&amp;R&amp;K00-024&amp;A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I54"/>
  <sheetViews>
    <sheetView showGridLines="0" zoomScalePageLayoutView="0" workbookViewId="0" topLeftCell="A1">
      <selection activeCell="J25" sqref="J25"/>
    </sheetView>
  </sheetViews>
  <sheetFormatPr defaultColWidth="9.140625" defaultRowHeight="15"/>
  <cols>
    <col min="1" max="2" width="4.421875" style="217" customWidth="1"/>
    <col min="3" max="3" width="7.28125" style="118" customWidth="1"/>
    <col min="4" max="14" width="7.28125" style="4" customWidth="1"/>
    <col min="15" max="15" width="8.7109375" style="4" customWidth="1"/>
    <col min="16" max="17" width="7.7109375" style="4" customWidth="1"/>
    <col min="18" max="19" width="5.7109375" style="4" customWidth="1"/>
    <col min="20" max="20" width="4.7109375" style="4" hidden="1" customWidth="1"/>
    <col min="21" max="21" width="1.7109375" style="4" hidden="1" customWidth="1"/>
    <col min="22" max="22" width="4.00390625" style="4" hidden="1" customWidth="1"/>
    <col min="23" max="25" width="4.7109375" style="4" hidden="1" customWidth="1"/>
    <col min="26" max="26" width="3.7109375" style="4" hidden="1" customWidth="1"/>
    <col min="27" max="30" width="8.8515625" style="4" hidden="1" customWidth="1"/>
    <col min="31" max="33" width="3.7109375" style="291" hidden="1" customWidth="1"/>
    <col min="34" max="34" width="3.7109375" style="508" hidden="1" customWidth="1"/>
    <col min="35" max="35" width="3.7109375" style="291" hidden="1" customWidth="1"/>
    <col min="36" max="36" width="8.8515625" style="4" customWidth="1"/>
    <col min="37" max="16384" width="8.8515625" style="4" customWidth="1"/>
  </cols>
  <sheetData>
    <row r="1" ht="4.5" customHeight="1"/>
    <row r="2" spans="1:17" ht="15" customHeight="1">
      <c r="A2" s="662">
        <f>IF('obrazec 1'!F4="","",'obrazec 1'!F4)</f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</row>
    <row r="3" ht="4.5" customHeight="1"/>
    <row r="4" spans="1:35" ht="14.25" customHeight="1">
      <c r="A4" s="673">
        <f>+IF('obrazec 1'!F3="DA","",IF('obrazec 1'!F3="NE",'obrazec 1'!J12,""))</f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AE4" s="476"/>
      <c r="AF4" s="476"/>
      <c r="AG4" s="476"/>
      <c r="AI4" s="476"/>
    </row>
    <row r="5" spans="31:35" ht="4.5" customHeight="1">
      <c r="AE5" s="476"/>
      <c r="AF5" s="476"/>
      <c r="AG5" s="476"/>
      <c r="AI5" s="476"/>
    </row>
    <row r="6" ht="14.25">
      <c r="A6" s="215" t="s">
        <v>210</v>
      </c>
    </row>
    <row r="7" ht="14.25">
      <c r="A7" s="215" t="s">
        <v>288</v>
      </c>
    </row>
    <row r="8" ht="14.25">
      <c r="A8" s="215" t="s">
        <v>459</v>
      </c>
    </row>
    <row r="9" ht="14.25">
      <c r="A9" s="215" t="s">
        <v>460</v>
      </c>
    </row>
    <row r="10" ht="14.25">
      <c r="A10" s="215" t="s">
        <v>269</v>
      </c>
    </row>
    <row r="11" ht="4.5" customHeight="1"/>
    <row r="12" spans="1:20" ht="14.25">
      <c r="A12" s="666" t="s">
        <v>161</v>
      </c>
      <c r="B12" s="667"/>
      <c r="C12" s="670" t="s">
        <v>342</v>
      </c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2"/>
      <c r="O12" s="663" t="s">
        <v>162</v>
      </c>
      <c r="P12" s="1" t="s">
        <v>246</v>
      </c>
      <c r="Q12" s="2" t="s">
        <v>248</v>
      </c>
      <c r="R12" s="3"/>
      <c r="S12" s="3"/>
      <c r="T12" s="3"/>
    </row>
    <row r="13" spans="1:17" ht="14.25">
      <c r="A13" s="668"/>
      <c r="B13" s="669"/>
      <c r="C13" s="196" t="s">
        <v>189</v>
      </c>
      <c r="D13" s="5" t="s">
        <v>190</v>
      </c>
      <c r="E13" s="5" t="s">
        <v>191</v>
      </c>
      <c r="F13" s="5" t="s">
        <v>192</v>
      </c>
      <c r="G13" s="5" t="s">
        <v>193</v>
      </c>
      <c r="H13" s="5" t="s">
        <v>194</v>
      </c>
      <c r="I13" s="5" t="s">
        <v>195</v>
      </c>
      <c r="J13" s="5" t="s">
        <v>196</v>
      </c>
      <c r="K13" s="5" t="s">
        <v>163</v>
      </c>
      <c r="L13" s="5" t="s">
        <v>197</v>
      </c>
      <c r="M13" s="5" t="s">
        <v>164</v>
      </c>
      <c r="N13" s="6" t="s">
        <v>198</v>
      </c>
      <c r="O13" s="664"/>
      <c r="P13" s="7" t="s">
        <v>247</v>
      </c>
      <c r="Q13" s="8" t="s">
        <v>247</v>
      </c>
    </row>
    <row r="14" spans="1:29" ht="12.75" customHeight="1">
      <c r="A14" s="197">
        <v>1</v>
      </c>
      <c r="B14" s="198"/>
      <c r="C14" s="200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  <c r="O14" s="9">
        <f>SUM(C14:N14)</f>
        <v>0</v>
      </c>
      <c r="P14" s="33">
        <f>IF(COUNTIF($C14:$N14,"&gt;0"),COUNTIF($C14:$N14,"&gt;0")*2,0)</f>
        <v>0</v>
      </c>
      <c r="Q14" s="34">
        <f>IF(COUNTIF($C14:$N14,"&gt;0"),COUNTIF($C14:$N14,"&gt;0")*2,0)</f>
        <v>0</v>
      </c>
      <c r="R14" s="10" t="str">
        <f>IF(COUNTIF($C14:$N14,"&gt;0")&gt;0,IF(SMALL($C14:$N14,1)&gt;=15," ","NAPAKA 1")," ")</f>
        <v> </v>
      </c>
      <c r="S14" s="665">
        <f>IF((COUNTIF(C14:N14,"&gt;0")+COUNTIF(C15:N15,"&gt;0")+COUNTIF(C31:N31,"&gt;0"))&lt;&gt;X14,"NAPAKA 2","")</f>
      </c>
      <c r="T14" s="10"/>
      <c r="U14" s="676">
        <v>1</v>
      </c>
      <c r="V14" s="31">
        <v>1</v>
      </c>
      <c r="W14" s="629">
        <f>O14+O15+O31</f>
        <v>0</v>
      </c>
      <c r="X14" s="629">
        <f>VLOOKUP(W14,$AA$14:$AC$26,3,TRUE)</f>
        <v>0</v>
      </c>
      <c r="Y14" s="629">
        <f>COUNTIF(C14:N14,"&gt;0")+COUNTIF(C15:N15,"&gt;0")+COUNTIF(C31:N31,"&gt;0")</f>
        <v>0</v>
      </c>
      <c r="AA14" s="21">
        <v>0</v>
      </c>
      <c r="AB14" s="21">
        <v>14</v>
      </c>
      <c r="AC14" s="24">
        <v>0</v>
      </c>
    </row>
    <row r="15" spans="1:35" ht="12.75" customHeight="1">
      <c r="A15" s="11" t="s">
        <v>164</v>
      </c>
      <c r="B15" s="202" t="s">
        <v>199</v>
      </c>
      <c r="C15" s="204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  <c r="O15" s="13">
        <f aca="true" t="shared" si="0" ref="O15:O33">SUM(C15:N15)</f>
        <v>0</v>
      </c>
      <c r="P15" s="35">
        <f aca="true" t="shared" si="1" ref="P15:P33">IF(COUNTIF($C15:$N15,"&gt;0"),COUNTIF($C15:$N15,"&gt;0")*2,0)</f>
        <v>0</v>
      </c>
      <c r="Q15" s="36">
        <f aca="true" t="shared" si="2" ref="Q15:Q32">IF(COUNTIF($C15:$N15,"&gt;0"),COUNTIF($C15:$N15,"&gt;0")*2,0)</f>
        <v>0</v>
      </c>
      <c r="R15" s="10" t="str">
        <f aca="true" t="shared" si="3" ref="R15:R33">IF(COUNTIF($C15:$N15,"&gt;0")&gt;0,IF(SMALL($C15:$N15,1)&gt;=15," ","NAPAKA 1")," ")</f>
        <v> </v>
      </c>
      <c r="S15" s="665"/>
      <c r="T15" s="10"/>
      <c r="U15" s="676"/>
      <c r="V15" s="31" t="s">
        <v>233</v>
      </c>
      <c r="W15" s="629"/>
      <c r="X15" s="629"/>
      <c r="Y15" s="629"/>
      <c r="AA15" s="21">
        <v>15</v>
      </c>
      <c r="AB15" s="21">
        <v>30</v>
      </c>
      <c r="AC15" s="24">
        <v>1</v>
      </c>
      <c r="AD15" s="24">
        <v>1</v>
      </c>
      <c r="AE15" s="21">
        <f>IF(OR(O14&gt;0,O15&gt;0,O31&gt;0),1,0)</f>
        <v>0</v>
      </c>
      <c r="AF15" s="21">
        <f>IF(OR('obrazec 4a'!O15&gt;0,'obrazec 4a'!O16&gt;0,'obrazec 4a'!O32&gt;0),1,0)</f>
        <v>0</v>
      </c>
      <c r="AG15" s="21">
        <f>IF(OR('obrazec 4b'!P15&gt;0,'obrazec 4b'!P16&gt;0,'obrazec 4b'!P32&gt;0),1,0)</f>
        <v>0</v>
      </c>
      <c r="AH15" s="21">
        <f>IF(OR('obrazec 4 - OŠPP'!Q12&gt;0,'obrazec 4 - OŠPP'!Q13&gt;0,'obrazec 4 - OŠPP'!Q29&gt;0),1,0)</f>
        <v>0</v>
      </c>
      <c r="AI15" s="21">
        <f aca="true" t="shared" si="4" ref="AI15:AI22">IF(OR(AE15=1,AF15=1,AG15=1,AH15=1),1,0)</f>
        <v>0</v>
      </c>
    </row>
    <row r="16" spans="1:35" ht="12.75" customHeight="1">
      <c r="A16" s="201">
        <v>2</v>
      </c>
      <c r="B16" s="205"/>
      <c r="C16" s="204"/>
      <c r="D16" s="422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3">
        <f t="shared" si="0"/>
        <v>0</v>
      </c>
      <c r="P16" s="35">
        <f t="shared" si="1"/>
        <v>0</v>
      </c>
      <c r="Q16" s="36">
        <f t="shared" si="2"/>
        <v>0</v>
      </c>
      <c r="R16" s="10" t="str">
        <f t="shared" si="3"/>
        <v> </v>
      </c>
      <c r="S16" s="665">
        <f>IF((COUNTIF(C16:N16,"&gt;0")+COUNTIF(C17:N17,"&gt;0"))&lt;&gt;X17,"NAPAKA 2","")</f>
      </c>
      <c r="T16" s="10"/>
      <c r="U16" s="676"/>
      <c r="V16" s="31" t="s">
        <v>234</v>
      </c>
      <c r="W16" s="629"/>
      <c r="X16" s="629"/>
      <c r="Y16" s="629"/>
      <c r="AA16" s="21">
        <v>31</v>
      </c>
      <c r="AB16" s="21">
        <v>60</v>
      </c>
      <c r="AC16" s="24">
        <v>2</v>
      </c>
      <c r="AD16" s="24">
        <v>2</v>
      </c>
      <c r="AE16" s="21">
        <f>IF(OR(O16&gt;0,O17&gt;0,O15&gt;0,O31&gt;0),1,0)</f>
        <v>0</v>
      </c>
      <c r="AF16" s="21">
        <f>IF(OR('obrazec 4a'!O16&gt;0,'obrazec 4a'!O17&gt;0,'obrazec 4a'!O18&gt;0,'obrazec 4a'!O32&gt;0),1,0)</f>
        <v>0</v>
      </c>
      <c r="AG16" s="21">
        <f>IF(OR('obrazec 4b'!P16&gt;0,'obrazec 4b'!P17&gt;0,'obrazec 4b'!P18&gt;0,'obrazec 4b'!P32&gt;0),1,0)</f>
        <v>0</v>
      </c>
      <c r="AH16" s="21">
        <f>IF(OR('obrazec 4 - OŠPP'!Q13&gt;0,'obrazec 4 - OŠPP'!Q14&gt;0,'obrazec 4 - OŠPP'!Q15&gt;0,'obrazec 4 - OŠPP'!Q29&gt;0),1,0)</f>
        <v>0</v>
      </c>
      <c r="AI16" s="21">
        <f t="shared" si="4"/>
        <v>0</v>
      </c>
    </row>
    <row r="17" spans="1:35" ht="12.75" customHeight="1">
      <c r="A17" s="11" t="s">
        <v>164</v>
      </c>
      <c r="B17" s="202" t="s">
        <v>200</v>
      </c>
      <c r="C17" s="204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3">
        <f t="shared" si="0"/>
        <v>0</v>
      </c>
      <c r="P17" s="35">
        <f t="shared" si="1"/>
        <v>0</v>
      </c>
      <c r="Q17" s="36">
        <f t="shared" si="2"/>
        <v>0</v>
      </c>
      <c r="R17" s="10" t="str">
        <f t="shared" si="3"/>
        <v> </v>
      </c>
      <c r="S17" s="665"/>
      <c r="T17" s="10"/>
      <c r="U17" s="676">
        <v>2</v>
      </c>
      <c r="V17" s="31">
        <v>2</v>
      </c>
      <c r="W17" s="629">
        <f>O16+O17</f>
        <v>0</v>
      </c>
      <c r="X17" s="629">
        <f>VLOOKUP(W17,$AA$14:$AC$26,3,TRUE)</f>
        <v>0</v>
      </c>
      <c r="Y17" s="629">
        <f>COUNTIF(C16:N16,"&gt;0")+COUNTIF(C17:N17,"&gt;0")</f>
        <v>0</v>
      </c>
      <c r="AA17" s="21">
        <v>61</v>
      </c>
      <c r="AB17" s="21">
        <v>90</v>
      </c>
      <c r="AC17" s="24">
        <v>3</v>
      </c>
      <c r="AD17" s="24">
        <v>3</v>
      </c>
      <c r="AE17" s="21">
        <f>IF(OR(O17&gt;0,O18&gt;0,O19&gt;0,O31&gt;0),1,0)</f>
        <v>0</v>
      </c>
      <c r="AF17" s="21">
        <f>IF(OR('obrazec 4a'!O18&gt;0,'obrazec 4a'!O19&gt;0,'obrazec 4a'!O20&gt;0,'obrazec 4a'!O32&gt;0),1,0)</f>
        <v>0</v>
      </c>
      <c r="AG17" s="21">
        <f>IF(OR('obrazec 4b'!P18&gt;0,'obrazec 4b'!P19&gt;0,'obrazec 4b'!P20&gt;0,'obrazec 4b'!P32&gt;0),1,0)</f>
        <v>0</v>
      </c>
      <c r="AH17" s="21">
        <f>IF(OR('obrazec 4 - OŠPP'!Q15&gt;0,'obrazec 4 - OŠPP'!Q16&gt;0,'obrazec 4 - OŠPP'!Q17&gt;0,'obrazec 4 - OŠPP'!Q29&gt;0),1,0)</f>
        <v>0</v>
      </c>
      <c r="AI17" s="21">
        <f t="shared" si="4"/>
        <v>0</v>
      </c>
    </row>
    <row r="18" spans="1:35" ht="12.75" customHeight="1">
      <c r="A18" s="201">
        <v>3</v>
      </c>
      <c r="B18" s="205"/>
      <c r="C18" s="204"/>
      <c r="D18" s="422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3">
        <f t="shared" si="0"/>
        <v>0</v>
      </c>
      <c r="P18" s="35">
        <f t="shared" si="1"/>
        <v>0</v>
      </c>
      <c r="Q18" s="36">
        <f t="shared" si="2"/>
        <v>0</v>
      </c>
      <c r="R18" s="10" t="str">
        <f t="shared" si="3"/>
        <v> </v>
      </c>
      <c r="S18" s="665">
        <f>IF((COUNTIF(C18:N18,"&gt;0")+COUNTIF(C19:N19,"&gt;0"))&lt;&gt;X19,"NAPAKA 2","")</f>
      </c>
      <c r="T18" s="10"/>
      <c r="U18" s="676"/>
      <c r="V18" s="31" t="s">
        <v>235</v>
      </c>
      <c r="W18" s="629"/>
      <c r="X18" s="629"/>
      <c r="Y18" s="629"/>
      <c r="AA18" s="21">
        <v>91</v>
      </c>
      <c r="AB18" s="21">
        <v>120</v>
      </c>
      <c r="AC18" s="24">
        <v>4</v>
      </c>
      <c r="AD18" s="24">
        <v>4</v>
      </c>
      <c r="AE18" s="21">
        <f>IF(OR(O21&gt;0,O19&gt;0,O20&gt;0,O32&gt;0),1,0)</f>
        <v>0</v>
      </c>
      <c r="AF18" s="21">
        <f>IF(OR('obrazec 4a'!O22&gt;0,'obrazec 4a'!O20&gt;0,'obrazec 4a'!O21&gt;0,'obrazec 4a'!O33&gt;0),1,0)</f>
        <v>0</v>
      </c>
      <c r="AG18" s="21">
        <f>IF(OR('obrazec 4b'!P22&gt;0,'obrazec 4b'!P20&gt;0,'obrazec 4b'!P21&gt;0,'obrazec 4b'!P33&gt;0),1,0)</f>
        <v>0</v>
      </c>
      <c r="AH18" s="21">
        <f>IF(OR('obrazec 4 - OŠPP'!Q17&gt;0,'obrazec 4 - OŠPP'!Q18&gt;0,'obrazec 4 - OŠPP'!Q19&gt;0,'obrazec 4 - OŠPP'!Q30&gt;0),1,0)</f>
        <v>0</v>
      </c>
      <c r="AI18" s="21">
        <f t="shared" si="4"/>
        <v>0</v>
      </c>
    </row>
    <row r="19" spans="1:35" ht="12.75" customHeight="1">
      <c r="A19" s="11" t="s">
        <v>164</v>
      </c>
      <c r="B19" s="206" t="s">
        <v>201</v>
      </c>
      <c r="C19" s="204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3">
        <f t="shared" si="0"/>
        <v>0</v>
      </c>
      <c r="P19" s="35">
        <f t="shared" si="1"/>
        <v>0</v>
      </c>
      <c r="Q19" s="36">
        <f t="shared" si="2"/>
        <v>0</v>
      </c>
      <c r="R19" s="10" t="str">
        <f t="shared" si="3"/>
        <v> </v>
      </c>
      <c r="S19" s="665"/>
      <c r="T19" s="10"/>
      <c r="U19" s="676">
        <v>3</v>
      </c>
      <c r="V19" s="31">
        <v>3</v>
      </c>
      <c r="W19" s="629">
        <f>O18+O19</f>
        <v>0</v>
      </c>
      <c r="X19" s="629">
        <f>VLOOKUP(W19,$AA$14:$AC$26,3,TRUE)</f>
        <v>0</v>
      </c>
      <c r="Y19" s="629">
        <f>COUNTIF(C18:N18,"&gt;0")+COUNTIF(C19:N19,"&gt;0")</f>
        <v>0</v>
      </c>
      <c r="AA19" s="21">
        <v>121</v>
      </c>
      <c r="AB19" s="21">
        <v>150</v>
      </c>
      <c r="AC19" s="24">
        <v>5</v>
      </c>
      <c r="AD19" s="24">
        <v>5</v>
      </c>
      <c r="AE19" s="21">
        <f>IF(OR(O23&gt;0,O21&gt;0,O22&gt;0,O32&gt;0),1,0)</f>
        <v>0</v>
      </c>
      <c r="AF19" s="21">
        <f>IF(OR('obrazec 4a'!O23&gt;0,'obrazec 4a'!O24&gt;0,'obrazec 4a'!O22&gt;0,'obrazec 4a'!O33&gt;0),1,0)</f>
        <v>0</v>
      </c>
      <c r="AG19" s="21">
        <f>IF(OR('obrazec 4b'!P23&gt;0,'obrazec 4b'!P24&gt;0,'obrazec 4b'!P22&gt;0,'obrazec 4b'!P33&gt;0),1,0)</f>
        <v>0</v>
      </c>
      <c r="AH19" s="21">
        <f>IF(OR('obrazec 4 - OŠPP'!Q19&gt;0,'obrazec 4 - OŠPP'!Q20&gt;0,'obrazec 4 - OŠPP'!Q21&gt;0,'obrazec 4 - OŠPP'!Q30&gt;0),1,0)</f>
        <v>0</v>
      </c>
      <c r="AI19" s="21">
        <f t="shared" si="4"/>
        <v>0</v>
      </c>
    </row>
    <row r="20" spans="1:35" ht="12.75" customHeight="1">
      <c r="A20" s="201">
        <v>4</v>
      </c>
      <c r="B20" s="205"/>
      <c r="C20" s="204"/>
      <c r="D20" s="422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3">
        <f t="shared" si="0"/>
        <v>0</v>
      </c>
      <c r="P20" s="35">
        <f t="shared" si="1"/>
        <v>0</v>
      </c>
      <c r="Q20" s="36">
        <f t="shared" si="2"/>
        <v>0</v>
      </c>
      <c r="R20" s="10" t="str">
        <f t="shared" si="3"/>
        <v> </v>
      </c>
      <c r="S20" s="665">
        <f>IF((COUNTIF(C20:N20,"&gt;0")+COUNTIF(C21:N21,"&gt;0")+COUNTIF(C32:N32,"&gt;0"))&lt;&gt;X21,"NAPAKA 2","")</f>
      </c>
      <c r="T20" s="10"/>
      <c r="U20" s="676"/>
      <c r="V20" s="31" t="s">
        <v>236</v>
      </c>
      <c r="W20" s="629"/>
      <c r="X20" s="629"/>
      <c r="Y20" s="629"/>
      <c r="AA20" s="21">
        <v>151</v>
      </c>
      <c r="AB20" s="21">
        <v>180</v>
      </c>
      <c r="AC20" s="24">
        <v>6</v>
      </c>
      <c r="AD20" s="24">
        <v>6</v>
      </c>
      <c r="AE20" s="21">
        <f>IF(OR(O24&gt;0,O25&gt;0,O23&gt;0,O32&gt;0),1,0)</f>
        <v>0</v>
      </c>
      <c r="AF20" s="21">
        <f>IF(OR('obrazec 4a'!O24&gt;0,'obrazec 4a'!O25&gt;0,'obrazec 4a'!O26&gt;0,'obrazec 4a'!O33&gt;0),1,0)</f>
        <v>0</v>
      </c>
      <c r="AG20" s="21">
        <f>IF(OR('obrazec 4b'!P24&gt;0,'obrazec 4b'!P25&gt;0,'obrazec 4b'!P26&gt;0,'obrazec 4b'!P33&gt;0),1,0)</f>
        <v>0</v>
      </c>
      <c r="AH20" s="21">
        <f>IF(OR('obrazec 4 - OŠPP'!Q21&gt;0,'obrazec 4 - OŠPP'!Q22&gt;0,'obrazec 4 - OŠPP'!Q23&gt;0,'obrazec 4 - OŠPP'!Q30&gt;0),1,0)</f>
        <v>0</v>
      </c>
      <c r="AI20" s="21">
        <f t="shared" si="4"/>
        <v>0</v>
      </c>
    </row>
    <row r="21" spans="1:35" ht="12.75" customHeight="1">
      <c r="A21" s="11" t="s">
        <v>164</v>
      </c>
      <c r="B21" s="206" t="s">
        <v>202</v>
      </c>
      <c r="C21" s="204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3">
        <f t="shared" si="0"/>
        <v>0</v>
      </c>
      <c r="P21" s="35">
        <f t="shared" si="1"/>
        <v>0</v>
      </c>
      <c r="Q21" s="36">
        <f t="shared" si="2"/>
        <v>0</v>
      </c>
      <c r="R21" s="10" t="str">
        <f t="shared" si="3"/>
        <v> </v>
      </c>
      <c r="S21" s="665"/>
      <c r="T21" s="10"/>
      <c r="U21" s="676">
        <v>4</v>
      </c>
      <c r="V21" s="31">
        <v>4</v>
      </c>
      <c r="W21" s="629">
        <f>O20+O21+O32</f>
        <v>0</v>
      </c>
      <c r="X21" s="629">
        <f>VLOOKUP(W21,$AA$14:$AC$26,3,TRUE)</f>
        <v>0</v>
      </c>
      <c r="Y21" s="629">
        <f>COUNTIF(C21:N21,"&gt;0")+COUNTIF(C20:N20,"&gt;0")+COUNTIF(C32:N32,"&gt;0")</f>
        <v>0</v>
      </c>
      <c r="AA21" s="21">
        <v>181</v>
      </c>
      <c r="AB21" s="21">
        <v>210</v>
      </c>
      <c r="AC21" s="24">
        <v>7</v>
      </c>
      <c r="AD21" s="24">
        <v>7</v>
      </c>
      <c r="AE21" s="21">
        <f>IF(OR(O25&gt;0,O26&gt;0,O27&gt;0,O33&gt;0),1,0)</f>
        <v>0</v>
      </c>
      <c r="AF21" s="21">
        <f>IF(OR('obrazec 4a'!O26&gt;0,'obrazec 4a'!O27&gt;0,'obrazec 4a'!O28&gt;0,'obrazec 4a'!O34&gt;0),1,0)</f>
        <v>0</v>
      </c>
      <c r="AG21" s="21">
        <f>IF(OR('obrazec 4b'!P26&gt;0,'obrazec 4b'!P27&gt;0,'obrazec 4b'!P28&gt;0,'obrazec 4b'!P34&gt;0),1,0)</f>
        <v>0</v>
      </c>
      <c r="AH21" s="21">
        <f>IF(OR('obrazec 4 - OŠPP'!Q23&gt;0,'obrazec 4 - OŠPP'!Q24&gt;0,'obrazec 4 - OŠPP'!Q25&gt;0,'obrazec 4 - OŠPP'!Q31&gt;0),1,0)</f>
        <v>0</v>
      </c>
      <c r="AI21" s="21">
        <f t="shared" si="4"/>
        <v>0</v>
      </c>
    </row>
    <row r="22" spans="1:35" ht="12.75" customHeight="1">
      <c r="A22" s="201">
        <v>5</v>
      </c>
      <c r="B22" s="205"/>
      <c r="C22" s="204"/>
      <c r="D22" s="422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3">
        <f t="shared" si="0"/>
        <v>0</v>
      </c>
      <c r="P22" s="35">
        <f t="shared" si="1"/>
        <v>0</v>
      </c>
      <c r="Q22" s="36">
        <f t="shared" si="2"/>
        <v>0</v>
      </c>
      <c r="R22" s="10" t="str">
        <f t="shared" si="3"/>
        <v> </v>
      </c>
      <c r="S22" s="665">
        <f>IF((COUNTIF(C22:N22,"&gt;0")+COUNTIF(C23:N23,"&gt;0"))&lt;&gt;X24,"NAPAKA 2","")</f>
      </c>
      <c r="T22" s="10"/>
      <c r="U22" s="676"/>
      <c r="V22" s="31" t="s">
        <v>237</v>
      </c>
      <c r="W22" s="629"/>
      <c r="X22" s="629"/>
      <c r="Y22" s="629"/>
      <c r="AA22" s="21">
        <v>211</v>
      </c>
      <c r="AB22" s="21">
        <v>240</v>
      </c>
      <c r="AC22" s="24">
        <v>8</v>
      </c>
      <c r="AD22" s="24">
        <v>8</v>
      </c>
      <c r="AE22" s="21">
        <f>IF(OR(O29&gt;0,O27&gt;0,O28&gt;0,O33&gt;0),1,0)</f>
        <v>0</v>
      </c>
      <c r="AF22" s="21">
        <f>IF(OR('obrazec 4a'!O28&gt;0,'obrazec 4a'!O29&gt;0,'obrazec 4a'!O30&gt;0,'obrazec 4a'!O34&gt;0),1,0)</f>
        <v>0</v>
      </c>
      <c r="AG22" s="21">
        <f>IF(OR('obrazec 4b'!P28&gt;0,'obrazec 4b'!P29&gt;0,'obrazec 4b'!P30&gt;0,'obrazec 4b'!P34&gt;0),1,0)</f>
        <v>0</v>
      </c>
      <c r="AH22" s="21">
        <f>IF(OR('obrazec 4 - OŠPP'!Q25&gt;0,'obrazec 4 - OŠPP'!Q26&gt;0,'obrazec 4 - OŠPP'!Q27&gt;0,'obrazec 4 - OŠPP'!Q31&gt;0),1,0)</f>
        <v>0</v>
      </c>
      <c r="AI22" s="21">
        <f t="shared" si="4"/>
        <v>0</v>
      </c>
    </row>
    <row r="23" spans="1:35" ht="12.75" customHeight="1">
      <c r="A23" s="11" t="s">
        <v>164</v>
      </c>
      <c r="B23" s="206" t="s">
        <v>203</v>
      </c>
      <c r="C23" s="204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3">
        <f t="shared" si="0"/>
        <v>0</v>
      </c>
      <c r="P23" s="35">
        <f t="shared" si="1"/>
        <v>0</v>
      </c>
      <c r="Q23" s="36">
        <f t="shared" si="2"/>
        <v>0</v>
      </c>
      <c r="R23" s="10" t="str">
        <f t="shared" si="3"/>
        <v> </v>
      </c>
      <c r="S23" s="665"/>
      <c r="T23" s="10"/>
      <c r="U23" s="676"/>
      <c r="V23" s="31" t="s">
        <v>238</v>
      </c>
      <c r="W23" s="629"/>
      <c r="X23" s="629"/>
      <c r="Y23" s="629"/>
      <c r="AA23" s="21">
        <v>241</v>
      </c>
      <c r="AB23" s="21">
        <v>270</v>
      </c>
      <c r="AC23" s="24">
        <v>9</v>
      </c>
      <c r="AD23" s="24">
        <v>9</v>
      </c>
      <c r="AE23" s="21">
        <f>IF(OR(O30&gt;0,O29&gt;0,O33&gt;0),1,0)</f>
        <v>0</v>
      </c>
      <c r="AF23" s="21">
        <f>IF(OR('obrazec 4a'!O30&gt;0,'obrazec 4a'!O31&gt;0,'obrazec 4a'!O34&gt;0),1,0)</f>
        <v>0</v>
      </c>
      <c r="AG23" s="21">
        <f>IF(OR('obrazec 4b'!P30&gt;0,'obrazec 4b'!P31&gt;0,'obrazec 4b'!P34&gt;0),1,0)</f>
        <v>0</v>
      </c>
      <c r="AH23" s="21">
        <f>IF(OR('obrazec 4 - OŠPP'!Q27&gt;0,'obrazec 4 - OŠPP'!Q28&gt;0,'obrazec 4 - OŠPP'!Q31&gt;0),1,0)</f>
        <v>0</v>
      </c>
      <c r="AI23" s="21">
        <f>IF(OR(AE23=1,AF23=1,AG23=1,AH23=1),2,0)</f>
        <v>0</v>
      </c>
    </row>
    <row r="24" spans="1:35" ht="12.75" customHeight="1">
      <c r="A24" s="201">
        <v>6</v>
      </c>
      <c r="B24" s="205"/>
      <c r="C24" s="204"/>
      <c r="D24" s="422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3">
        <f t="shared" si="0"/>
        <v>0</v>
      </c>
      <c r="P24" s="35">
        <f t="shared" si="1"/>
        <v>0</v>
      </c>
      <c r="Q24" s="36">
        <f aca="true" t="shared" si="5" ref="Q24:Q30">IF(COUNTIF($C24:$N24,"&gt;0"),COUNTIF($C24:$N24,"&gt;0")*3,0)</f>
        <v>0</v>
      </c>
      <c r="R24" s="10" t="str">
        <f t="shared" si="3"/>
        <v> </v>
      </c>
      <c r="S24" s="665">
        <f>IF((COUNTIF(C24:N24,"&gt;0")+COUNTIF(C25:N25,"&gt;0"))&lt;&gt;X26,"NAPAKA 2","")</f>
      </c>
      <c r="T24" s="10"/>
      <c r="U24" s="676">
        <v>5</v>
      </c>
      <c r="V24" s="31">
        <v>5</v>
      </c>
      <c r="W24" s="629">
        <f>O22+O23</f>
        <v>0</v>
      </c>
      <c r="X24" s="629">
        <f>VLOOKUP(W24,$AA$14:$AC$26,3,TRUE)</f>
        <v>0</v>
      </c>
      <c r="Y24" s="629">
        <f>COUNTIF(C23:N23,"&gt;0")+COUNTIF(C22:N22,"&gt;0")</f>
        <v>0</v>
      </c>
      <c r="AA24" s="21">
        <v>271</v>
      </c>
      <c r="AB24" s="21">
        <v>300</v>
      </c>
      <c r="AC24" s="24">
        <v>10</v>
      </c>
      <c r="AE24" s="21"/>
      <c r="AF24" s="21"/>
      <c r="AG24" s="21"/>
      <c r="AH24" s="21"/>
      <c r="AI24" s="21">
        <f>SUM(AI15:AI23)</f>
        <v>0</v>
      </c>
    </row>
    <row r="25" spans="1:29" ht="12.75" customHeight="1">
      <c r="A25" s="11" t="s">
        <v>164</v>
      </c>
      <c r="B25" s="206" t="s">
        <v>204</v>
      </c>
      <c r="C25" s="204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13">
        <f t="shared" si="0"/>
        <v>0</v>
      </c>
      <c r="P25" s="35">
        <f t="shared" si="1"/>
        <v>0</v>
      </c>
      <c r="Q25" s="36">
        <f t="shared" si="5"/>
        <v>0</v>
      </c>
      <c r="R25" s="10" t="str">
        <f t="shared" si="3"/>
        <v> </v>
      </c>
      <c r="S25" s="665"/>
      <c r="T25" s="10"/>
      <c r="U25" s="676"/>
      <c r="V25" s="31" t="s">
        <v>239</v>
      </c>
      <c r="W25" s="629"/>
      <c r="X25" s="629"/>
      <c r="Y25" s="629"/>
      <c r="AA25" s="21">
        <v>301</v>
      </c>
      <c r="AB25" s="21">
        <v>330</v>
      </c>
      <c r="AC25" s="24">
        <v>11</v>
      </c>
    </row>
    <row r="26" spans="1:29" ht="12.75" customHeight="1">
      <c r="A26" s="201">
        <v>7</v>
      </c>
      <c r="B26" s="205"/>
      <c r="C26" s="204"/>
      <c r="D26" s="422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3">
        <f t="shared" si="0"/>
        <v>0</v>
      </c>
      <c r="P26" s="35">
        <f t="shared" si="1"/>
        <v>0</v>
      </c>
      <c r="Q26" s="36">
        <f t="shared" si="5"/>
        <v>0</v>
      </c>
      <c r="R26" s="10" t="str">
        <f t="shared" si="3"/>
        <v> </v>
      </c>
      <c r="S26" s="665">
        <f>IF((COUNTIF(C26:N26,"&gt;0")+COUNTIF(C27:N27,"&gt;0")+COUNTIF(C33:N33,"&gt;0"))&lt;&gt;X28,"NAPAKA 2","")</f>
      </c>
      <c r="T26" s="10"/>
      <c r="U26" s="676">
        <v>6</v>
      </c>
      <c r="V26" s="31">
        <v>6</v>
      </c>
      <c r="W26" s="629">
        <f>O24+O25</f>
        <v>0</v>
      </c>
      <c r="X26" s="629">
        <f>VLOOKUP(W26,$AA$14:$AC$26,3,TRUE)</f>
        <v>0</v>
      </c>
      <c r="Y26" s="629">
        <f>COUNTIF(C25:N25,"&gt;0")+COUNTIF(C24:N24,"&gt;0")</f>
        <v>0</v>
      </c>
      <c r="AA26" s="21">
        <v>331</v>
      </c>
      <c r="AB26" s="21">
        <v>360</v>
      </c>
      <c r="AC26" s="24">
        <v>12</v>
      </c>
    </row>
    <row r="27" spans="1:25" ht="12.75" customHeight="1">
      <c r="A27" s="11" t="s">
        <v>164</v>
      </c>
      <c r="B27" s="206" t="s">
        <v>205</v>
      </c>
      <c r="C27" s="204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3">
        <f t="shared" si="0"/>
        <v>0</v>
      </c>
      <c r="P27" s="35">
        <f t="shared" si="1"/>
        <v>0</v>
      </c>
      <c r="Q27" s="36">
        <f t="shared" si="5"/>
        <v>0</v>
      </c>
      <c r="R27" s="10" t="str">
        <f t="shared" si="3"/>
        <v> </v>
      </c>
      <c r="S27" s="665"/>
      <c r="T27" s="10"/>
      <c r="U27" s="676"/>
      <c r="V27" s="31" t="s">
        <v>240</v>
      </c>
      <c r="W27" s="629"/>
      <c r="X27" s="629"/>
      <c r="Y27" s="629"/>
    </row>
    <row r="28" spans="1:25" ht="12.75" customHeight="1">
      <c r="A28" s="201">
        <v>8</v>
      </c>
      <c r="B28" s="205"/>
      <c r="C28" s="204"/>
      <c r="D28" s="422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3">
        <f t="shared" si="0"/>
        <v>0</v>
      </c>
      <c r="P28" s="35">
        <f t="shared" si="1"/>
        <v>0</v>
      </c>
      <c r="Q28" s="36">
        <f t="shared" si="5"/>
        <v>0</v>
      </c>
      <c r="R28" s="10" t="str">
        <f t="shared" si="3"/>
        <v> </v>
      </c>
      <c r="S28" s="665">
        <f>IF((COUNTIF(C28:N28,"&gt;0")+COUNTIF(C29:N29,"&gt;0"))&lt;&gt;X31,"NAPAKA 2","")</f>
      </c>
      <c r="T28" s="10"/>
      <c r="U28" s="676">
        <v>7</v>
      </c>
      <c r="V28" s="31">
        <v>7</v>
      </c>
      <c r="W28" s="629">
        <f>+O26+O27+O33</f>
        <v>0</v>
      </c>
      <c r="X28" s="629">
        <f>VLOOKUP(W28,$AA$14:$AC$26,3,TRUE)</f>
        <v>0</v>
      </c>
      <c r="Y28" s="629">
        <f>COUNTIF(C26:N26,"&gt;0")+COUNTIF(C27:N27,"&gt;0")+COUNTIF(C33:N33,"&gt;0")</f>
        <v>0</v>
      </c>
    </row>
    <row r="29" spans="1:25" ht="12.75" customHeight="1">
      <c r="A29" s="11" t="s">
        <v>164</v>
      </c>
      <c r="B29" s="206" t="s">
        <v>206</v>
      </c>
      <c r="C29" s="2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13">
        <f t="shared" si="0"/>
        <v>0</v>
      </c>
      <c r="P29" s="35">
        <f t="shared" si="1"/>
        <v>0</v>
      </c>
      <c r="Q29" s="36">
        <f t="shared" si="5"/>
        <v>0</v>
      </c>
      <c r="R29" s="10" t="str">
        <f t="shared" si="3"/>
        <v> </v>
      </c>
      <c r="S29" s="665"/>
      <c r="T29" s="10"/>
      <c r="U29" s="676"/>
      <c r="V29" s="31" t="s">
        <v>241</v>
      </c>
      <c r="W29" s="629"/>
      <c r="X29" s="629"/>
      <c r="Y29" s="629"/>
    </row>
    <row r="30" spans="1:25" ht="12.75" customHeight="1">
      <c r="A30" s="207">
        <v>9</v>
      </c>
      <c r="B30" s="208"/>
      <c r="C30" s="209"/>
      <c r="D30" s="423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4">
        <f t="shared" si="0"/>
        <v>0</v>
      </c>
      <c r="P30" s="37">
        <f t="shared" si="1"/>
        <v>0</v>
      </c>
      <c r="Q30" s="38">
        <f t="shared" si="5"/>
        <v>0</v>
      </c>
      <c r="R30" s="10" t="str">
        <f t="shared" si="3"/>
        <v> </v>
      </c>
      <c r="S30" s="10">
        <f>IF(COUNTIF(C30:N30,"&gt;0")&lt;&gt;X33,"NAPAKA 2","")</f>
      </c>
      <c r="T30" s="10"/>
      <c r="U30" s="676"/>
      <c r="V30" s="31" t="s">
        <v>242</v>
      </c>
      <c r="W30" s="629"/>
      <c r="X30" s="629"/>
      <c r="Y30" s="629"/>
    </row>
    <row r="31" spans="1:25" ht="12.75" customHeight="1">
      <c r="A31" s="11" t="s">
        <v>164</v>
      </c>
      <c r="B31" s="206" t="s">
        <v>207</v>
      </c>
      <c r="C31" s="20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12">
        <f t="shared" si="0"/>
        <v>0</v>
      </c>
      <c r="P31" s="37">
        <f t="shared" si="1"/>
        <v>0</v>
      </c>
      <c r="Q31" s="38">
        <f t="shared" si="2"/>
        <v>0</v>
      </c>
      <c r="R31" s="10" t="str">
        <f t="shared" si="3"/>
        <v> </v>
      </c>
      <c r="S31" s="10">
        <f>S14</f>
      </c>
      <c r="T31" s="10"/>
      <c r="U31" s="676">
        <v>8</v>
      </c>
      <c r="V31" s="31">
        <v>8</v>
      </c>
      <c r="W31" s="629">
        <f>+O28+O29</f>
        <v>0</v>
      </c>
      <c r="X31" s="629">
        <f>VLOOKUP(W31,$AA$14:$AC$26,3,TRUE)</f>
        <v>0</v>
      </c>
      <c r="Y31" s="629">
        <f>COUNTIF(C28:N28,"&gt;0")+COUNTIF(C29:N29,"&gt;0")</f>
        <v>0</v>
      </c>
    </row>
    <row r="32" spans="1:25" ht="12.75" customHeight="1">
      <c r="A32" s="11" t="s">
        <v>164</v>
      </c>
      <c r="B32" s="206" t="s">
        <v>208</v>
      </c>
      <c r="C32" s="20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2">
        <f t="shared" si="0"/>
        <v>0</v>
      </c>
      <c r="P32" s="37">
        <f t="shared" si="1"/>
        <v>0</v>
      </c>
      <c r="Q32" s="38">
        <f t="shared" si="2"/>
        <v>0</v>
      </c>
      <c r="R32" s="10" t="str">
        <f t="shared" si="3"/>
        <v> </v>
      </c>
      <c r="S32" s="10">
        <f>S20</f>
      </c>
      <c r="T32" s="10"/>
      <c r="U32" s="676"/>
      <c r="V32" s="31" t="s">
        <v>243</v>
      </c>
      <c r="W32" s="629"/>
      <c r="X32" s="629"/>
      <c r="Y32" s="629"/>
    </row>
    <row r="33" spans="1:25" ht="12.75" customHeight="1">
      <c r="A33" s="15" t="s">
        <v>164</v>
      </c>
      <c r="B33" s="218" t="s">
        <v>209</v>
      </c>
      <c r="C33" s="21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6">
        <f t="shared" si="0"/>
        <v>0</v>
      </c>
      <c r="P33" s="37">
        <f t="shared" si="1"/>
        <v>0</v>
      </c>
      <c r="Q33" s="38">
        <f>IF(COUNTIF($C33:$N33,"&gt;0"),COUNTIF($C33:$N33,"&gt;0")*3,0)</f>
        <v>0</v>
      </c>
      <c r="R33" s="10" t="str">
        <f t="shared" si="3"/>
        <v> </v>
      </c>
      <c r="S33" s="10">
        <f>S26</f>
      </c>
      <c r="T33" s="10"/>
      <c r="U33" s="30">
        <v>9</v>
      </c>
      <c r="V33" s="31">
        <v>9</v>
      </c>
      <c r="W33" s="28">
        <f>+O30</f>
        <v>0</v>
      </c>
      <c r="X33" s="28">
        <f>VLOOKUP(W33,$AA$14:$AC$26,3,TRUE)</f>
        <v>0</v>
      </c>
      <c r="Y33" s="176">
        <f>COUNTIF(C30:N30,"&gt;0")</f>
        <v>0</v>
      </c>
    </row>
    <row r="34" spans="1:25" ht="14.25" customHeight="1">
      <c r="A34" s="678" t="s">
        <v>162</v>
      </c>
      <c r="B34" s="679"/>
      <c r="C34" s="17">
        <f>AI24</f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20">
        <f>SUM(O14:O33)</f>
        <v>0</v>
      </c>
      <c r="P34" s="39">
        <f>SUM(P14:P33)</f>
        <v>0</v>
      </c>
      <c r="Q34" s="40">
        <f>SUM(Q14:Q33)</f>
        <v>0</v>
      </c>
      <c r="U34" s="29"/>
      <c r="V34" s="27"/>
      <c r="W34" s="29">
        <f>SUM(W14:W33)</f>
        <v>0</v>
      </c>
      <c r="X34" s="29">
        <f>SUM(X14:X33)</f>
        <v>0</v>
      </c>
      <c r="Y34" s="29"/>
    </row>
    <row r="35" spans="1:15" ht="14.25">
      <c r="A35" s="32">
        <f>IF(AND(C34&lt;&gt;10,O34&lt;&gt;0),"OPOZORILO: Program na matični in podružničnih šolah ne zajema vseh razredov osnovne šole. PREVERITE !","")</f>
      </c>
      <c r="B35" s="214"/>
      <c r="C35" s="214"/>
      <c r="O35" s="3"/>
    </row>
    <row r="36" spans="1:20" ht="14.25">
      <c r="A36" s="22" t="str">
        <f>IF(OR(R14="NAPAKA 1",R15="NAPAKA 1",R16="NAPAKA 1",R17="NAPAKA 1",R18="NAPAKA 1",R19="NAPAKA 1",R20="NAPAKA 1",R21="NAPAKA 1",R22="NAPAKA 1",R23="NAPAKA 1",R24="NAPAKA 1",R25="NAPAKA 1",R26="NAPAKA 1",R27="NAPAKA 1",R28="NAPAKA 1",R29="NAPAKA 1",R30="NAPAKA 1",R31="NAPAKA 1",R32="NAPAKA 1",R33="NAPAKA 1"),"NAPAKA: V vrstici z oznako NAPAKA 1 je v eni izmed oblikovanih skupin premalo otrok. POPRAVITE !"," ")</f>
        <v> </v>
      </c>
      <c r="B36" s="192"/>
      <c r="C36" s="19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15" ht="14.25">
      <c r="A37" s="22" t="str">
        <f>IF(OR(S14="NAPAKA 2",S16="NAPAKA 2",S18="NAPAKA 2",S20="NAPAKA 2",S22="NAPAKA 2",S24="NAPAKA 2",S26="NAPAKA 2",S28="NAPAKA 2",S30="NAPAKA 2"),"NAPAKA: V vrsticah z oznako NAPAKA 2 je skupno število otrok premajhno (preveliko) za oblikovanje predvidenega števila skupin. Zamnjšajte (povečajte) število skupin. POPRAVITE !"," ")</f>
        <v> </v>
      </c>
      <c r="B37" s="214"/>
      <c r="C37" s="214"/>
      <c r="O37" s="3"/>
    </row>
    <row r="38" spans="1:15" ht="14.25">
      <c r="A38" s="192"/>
      <c r="B38" s="214"/>
      <c r="C38" s="214"/>
      <c r="O38" s="3"/>
    </row>
    <row r="39" spans="1:7" ht="14.25">
      <c r="A39" s="675" t="s">
        <v>245</v>
      </c>
      <c r="B39" s="675"/>
      <c r="C39" s="675"/>
      <c r="D39" s="675"/>
      <c r="E39" s="675"/>
      <c r="F39" s="675"/>
      <c r="G39" s="675"/>
    </row>
    <row r="40" spans="1:15" ht="14.25">
      <c r="A40" s="215" t="s">
        <v>165</v>
      </c>
      <c r="B40" s="215"/>
      <c r="C40" s="216">
        <v>0</v>
      </c>
      <c r="D40" s="24">
        <v>1</v>
      </c>
      <c r="E40" s="24">
        <v>2</v>
      </c>
      <c r="F40" s="24">
        <v>3</v>
      </c>
      <c r="G40" s="24">
        <v>4</v>
      </c>
      <c r="H40" s="24">
        <v>5</v>
      </c>
      <c r="I40" s="24">
        <v>6</v>
      </c>
      <c r="J40" s="24">
        <v>7</v>
      </c>
      <c r="K40" s="24">
        <v>8</v>
      </c>
      <c r="L40" s="24">
        <v>9</v>
      </c>
      <c r="M40" s="24">
        <v>10</v>
      </c>
      <c r="N40" s="24">
        <v>11</v>
      </c>
      <c r="O40" s="24">
        <v>12</v>
      </c>
    </row>
    <row r="41" ht="6" customHeight="1"/>
    <row r="42" spans="1:15" ht="14.25">
      <c r="A42" s="215" t="s">
        <v>166</v>
      </c>
      <c r="B42" s="215"/>
      <c r="C42" s="214">
        <v>0</v>
      </c>
      <c r="D42" s="21">
        <v>15</v>
      </c>
      <c r="E42" s="21">
        <v>31</v>
      </c>
      <c r="F42" s="21">
        <v>61</v>
      </c>
      <c r="G42" s="21">
        <v>91</v>
      </c>
      <c r="H42" s="21">
        <v>121</v>
      </c>
      <c r="I42" s="21">
        <v>151</v>
      </c>
      <c r="J42" s="21">
        <v>181</v>
      </c>
      <c r="K42" s="21">
        <v>211</v>
      </c>
      <c r="L42" s="21">
        <v>241</v>
      </c>
      <c r="M42" s="21">
        <v>271</v>
      </c>
      <c r="N42" s="21">
        <v>301</v>
      </c>
      <c r="O42" s="21">
        <v>331</v>
      </c>
    </row>
    <row r="43" spans="1:15" ht="3" customHeight="1">
      <c r="A43" s="215"/>
      <c r="B43" s="215"/>
      <c r="C43" s="21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14.25">
      <c r="B44" s="213" t="s">
        <v>244</v>
      </c>
      <c r="C44" s="214">
        <v>14</v>
      </c>
      <c r="D44" s="21">
        <v>30</v>
      </c>
      <c r="E44" s="21">
        <v>60</v>
      </c>
      <c r="F44" s="21">
        <v>90</v>
      </c>
      <c r="G44" s="21">
        <v>120</v>
      </c>
      <c r="H44" s="21">
        <v>150</v>
      </c>
      <c r="I44" s="21">
        <v>180</v>
      </c>
      <c r="J44" s="21">
        <v>210</v>
      </c>
      <c r="K44" s="21">
        <v>240</v>
      </c>
      <c r="L44" s="21">
        <v>270</v>
      </c>
      <c r="M44" s="21">
        <v>300</v>
      </c>
      <c r="N44" s="21">
        <v>330</v>
      </c>
      <c r="O44" s="21">
        <v>360</v>
      </c>
    </row>
    <row r="45" spans="5:7" ht="4.5" customHeight="1">
      <c r="E45" s="25"/>
      <c r="F45" s="25"/>
      <c r="G45" s="25"/>
    </row>
    <row r="46" spans="1:35" ht="14.25">
      <c r="A46" s="675" t="s">
        <v>21</v>
      </c>
      <c r="B46" s="675"/>
      <c r="C46" s="675"/>
      <c r="D46" s="675"/>
      <c r="E46" s="675"/>
      <c r="F46" s="675" t="s">
        <v>264</v>
      </c>
      <c r="G46" s="675"/>
      <c r="H46" s="675"/>
      <c r="I46" s="675"/>
      <c r="K46" s="675" t="s">
        <v>344</v>
      </c>
      <c r="L46" s="675"/>
      <c r="M46" s="675"/>
      <c r="N46" s="675"/>
      <c r="P46" s="675" t="s">
        <v>265</v>
      </c>
      <c r="Q46" s="675"/>
      <c r="R46" s="675"/>
      <c r="S46" s="675"/>
      <c r="AC46" s="291"/>
      <c r="AD46" s="291"/>
      <c r="AG46" s="4"/>
      <c r="AH46" s="4"/>
      <c r="AI46" s="4"/>
    </row>
    <row r="47" spans="5:35" ht="14.25">
      <c r="E47" s="25"/>
      <c r="F47" s="674">
        <f>IF('obrazec 1'!F4="","",'obrazec 1'!F12)</f>
      </c>
      <c r="G47" s="674"/>
      <c r="H47" s="674"/>
      <c r="I47" s="674"/>
      <c r="K47" s="674">
        <f>IF('obrazec 1'!F4="","",'obrazec 1'!F4)</f>
      </c>
      <c r="L47" s="674"/>
      <c r="M47" s="674"/>
      <c r="N47" s="674"/>
      <c r="P47" s="674">
        <f>IF('obrazec 1'!F3="DA",K47,IF('obrazec 1'!F3="NE",'obrazec 1'!J12,""))</f>
      </c>
      <c r="Q47" s="674"/>
      <c r="R47" s="674"/>
      <c r="S47" s="674"/>
      <c r="AC47" s="291"/>
      <c r="AD47" s="291"/>
      <c r="AG47" s="4"/>
      <c r="AH47" s="4"/>
      <c r="AI47" s="4"/>
    </row>
    <row r="48" spans="1:35" ht="14.25">
      <c r="A48" s="639">
        <f>IF('obrazec 2'!A3="","",'obrazec 2'!A3)</f>
      </c>
      <c r="B48" s="639"/>
      <c r="C48" s="639"/>
      <c r="D48" s="639"/>
      <c r="E48" s="25"/>
      <c r="F48" s="677">
        <f>IF('obrazec 1'!F6="","",'obrazec 1'!F14)</f>
      </c>
      <c r="G48" s="677"/>
      <c r="H48" s="677"/>
      <c r="I48" s="677"/>
      <c r="K48" s="677">
        <f>IF('obrazec 1'!F6="","",'obrazec 1'!F6)</f>
      </c>
      <c r="L48" s="677"/>
      <c r="M48" s="677"/>
      <c r="N48" s="677"/>
      <c r="P48" s="639">
        <f>IF('obrazec 1'!F3="DA",K48,IF('obrazec 1'!F3="NE",'obrazec 1'!J14,""))</f>
      </c>
      <c r="Q48" s="639"/>
      <c r="R48" s="639"/>
      <c r="S48" s="639"/>
      <c r="AC48" s="291"/>
      <c r="AD48" s="291"/>
      <c r="AG48" s="4"/>
      <c r="AH48" s="4"/>
      <c r="AI48" s="4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</sheetData>
  <sheetProtection password="C86A" sheet="1" objects="1" scenarios="1" selectLockedCells="1"/>
  <mergeCells count="58">
    <mergeCell ref="A39:G39"/>
    <mergeCell ref="Y28:Y30"/>
    <mergeCell ref="Y31:Y32"/>
    <mergeCell ref="Y26:Y27"/>
    <mergeCell ref="X28:X30"/>
    <mergeCell ref="X31:X32"/>
    <mergeCell ref="W26:W27"/>
    <mergeCell ref="W31:W32"/>
    <mergeCell ref="X26:X27"/>
    <mergeCell ref="A34:B34"/>
    <mergeCell ref="Y14:Y16"/>
    <mergeCell ref="Y17:Y18"/>
    <mergeCell ref="Y19:Y20"/>
    <mergeCell ref="Y21:Y23"/>
    <mergeCell ref="Y24:Y25"/>
    <mergeCell ref="X24:X25"/>
    <mergeCell ref="X14:X16"/>
    <mergeCell ref="X17:X18"/>
    <mergeCell ref="X19:X20"/>
    <mergeCell ref="X21:X23"/>
    <mergeCell ref="W14:W16"/>
    <mergeCell ref="W17:W18"/>
    <mergeCell ref="U14:U16"/>
    <mergeCell ref="U21:U23"/>
    <mergeCell ref="U24:U25"/>
    <mergeCell ref="U31:U32"/>
    <mergeCell ref="U17:U18"/>
    <mergeCell ref="W24:W25"/>
    <mergeCell ref="W19:W20"/>
    <mergeCell ref="W21:W23"/>
    <mergeCell ref="U19:U20"/>
    <mergeCell ref="U26:U27"/>
    <mergeCell ref="W28:W30"/>
    <mergeCell ref="U28:U30"/>
    <mergeCell ref="A48:D48"/>
    <mergeCell ref="F46:I46"/>
    <mergeCell ref="K46:N46"/>
    <mergeCell ref="F48:I48"/>
    <mergeCell ref="K48:N48"/>
    <mergeCell ref="K47:N47"/>
    <mergeCell ref="F47:I47"/>
    <mergeCell ref="A46:E46"/>
    <mergeCell ref="P48:S48"/>
    <mergeCell ref="S20:S21"/>
    <mergeCell ref="S22:S23"/>
    <mergeCell ref="S24:S25"/>
    <mergeCell ref="S28:S29"/>
    <mergeCell ref="P47:S47"/>
    <mergeCell ref="S26:S27"/>
    <mergeCell ref="P46:S46"/>
    <mergeCell ref="A2:Q2"/>
    <mergeCell ref="O12:O13"/>
    <mergeCell ref="S16:S17"/>
    <mergeCell ref="S18:S19"/>
    <mergeCell ref="A12:B13"/>
    <mergeCell ref="C12:N12"/>
    <mergeCell ref="A4:Q4"/>
    <mergeCell ref="S14:S15"/>
  </mergeCells>
  <printOptions horizontalCentered="1"/>
  <pageMargins left="0.7874015748031497" right="0.7874015748031497" top="0.31496062992125984" bottom="0.31496062992125984" header="0.31496062992125984" footer="0.31496062992125984"/>
  <pageSetup horizontalDpi="600" verticalDpi="600" orientation="landscape" paperSize="9" scale="90" r:id="rId1"/>
  <headerFooter>
    <oddFooter>&amp;R&amp;K00-024&amp;A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C60"/>
  <sheetViews>
    <sheetView showGridLines="0" zoomScalePageLayoutView="0" workbookViewId="0" topLeftCell="A1">
      <selection activeCell="J4" sqref="J4:Q4"/>
    </sheetView>
  </sheetViews>
  <sheetFormatPr defaultColWidth="9.140625" defaultRowHeight="15"/>
  <cols>
    <col min="1" max="2" width="4.421875" style="217" customWidth="1"/>
    <col min="3" max="3" width="7.28125" style="118" customWidth="1"/>
    <col min="4" max="14" width="7.28125" style="4" customWidth="1"/>
    <col min="15" max="15" width="8.7109375" style="4" customWidth="1"/>
    <col min="16" max="17" width="7.7109375" style="4" customWidth="1"/>
    <col min="18" max="19" width="5.7109375" style="4" customWidth="1"/>
    <col min="20" max="20" width="4.7109375" style="4" hidden="1" customWidth="1"/>
    <col min="21" max="21" width="1.7109375" style="4" hidden="1" customWidth="1"/>
    <col min="22" max="22" width="4.00390625" style="4" hidden="1" customWidth="1"/>
    <col min="23" max="25" width="4.7109375" style="4" hidden="1" customWidth="1"/>
    <col min="26" max="26" width="3.7109375" style="4" hidden="1" customWidth="1"/>
    <col min="27" max="30" width="8.8515625" style="4" hidden="1" customWidth="1"/>
    <col min="31" max="31" width="8.8515625" style="4" customWidth="1"/>
    <col min="32" max="16384" width="8.8515625" style="4" customWidth="1"/>
  </cols>
  <sheetData>
    <row r="1" ht="4.5" customHeight="1"/>
    <row r="2" spans="1:17" ht="15" customHeight="1">
      <c r="A2" s="662">
        <f>IF('obrazec 1'!F4="","",IF(AND('obrazec 1'!$F$3="NE",'obrazec 1'!F47="",$J$4=""),"",IF(AND('obrazec 1'!$F$3="DA",'obrazec 1'!J12="",$J$4=""),"",'obrazec 1'!F4)))</f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</row>
    <row r="3" ht="4.5" customHeight="1"/>
    <row r="4" spans="1:17" ht="14.25" customHeight="1">
      <c r="A4" s="681">
        <f>IF('obrazec 1'!F3="DA",K59,K58)</f>
      </c>
      <c r="B4" s="681"/>
      <c r="C4" s="681"/>
      <c r="D4" s="681"/>
      <c r="E4" s="681"/>
      <c r="F4" s="681"/>
      <c r="G4" s="681"/>
      <c r="H4" s="681"/>
      <c r="I4" s="681"/>
      <c r="J4" s="682"/>
      <c r="K4" s="682"/>
      <c r="L4" s="682"/>
      <c r="M4" s="682"/>
      <c r="N4" s="682"/>
      <c r="O4" s="682"/>
      <c r="P4" s="682"/>
      <c r="Q4" s="682"/>
    </row>
    <row r="5" spans="1:17" ht="9.75" customHeight="1">
      <c r="A5" s="680" t="s">
        <v>398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</row>
    <row r="6" ht="4.5" customHeight="1"/>
    <row r="7" ht="14.25">
      <c r="A7" s="215" t="s">
        <v>210</v>
      </c>
    </row>
    <row r="8" ht="14.25">
      <c r="A8" s="215" t="s">
        <v>288</v>
      </c>
    </row>
    <row r="9" ht="14.25">
      <c r="A9" s="215" t="s">
        <v>459</v>
      </c>
    </row>
    <row r="10" ht="14.25">
      <c r="A10" s="215" t="s">
        <v>460</v>
      </c>
    </row>
    <row r="11" ht="14.25">
      <c r="A11" s="479" t="s">
        <v>399</v>
      </c>
    </row>
    <row r="12" ht="4.5" customHeight="1"/>
    <row r="13" spans="1:20" ht="14.25">
      <c r="A13" s="666" t="s">
        <v>161</v>
      </c>
      <c r="B13" s="667"/>
      <c r="C13" s="670" t="s">
        <v>374</v>
      </c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2"/>
      <c r="O13" s="663" t="s">
        <v>162</v>
      </c>
      <c r="P13" s="1" t="s">
        <v>246</v>
      </c>
      <c r="Q13" s="2" t="s">
        <v>248</v>
      </c>
      <c r="R13" s="291"/>
      <c r="S13" s="291"/>
      <c r="T13" s="291"/>
    </row>
    <row r="14" spans="1:17" ht="14.25">
      <c r="A14" s="668"/>
      <c r="B14" s="669"/>
      <c r="C14" s="196" t="s">
        <v>189</v>
      </c>
      <c r="D14" s="5" t="s">
        <v>190</v>
      </c>
      <c r="E14" s="5" t="s">
        <v>191</v>
      </c>
      <c r="F14" s="5" t="s">
        <v>192</v>
      </c>
      <c r="G14" s="5" t="s">
        <v>193</v>
      </c>
      <c r="H14" s="5" t="s">
        <v>194</v>
      </c>
      <c r="I14" s="5" t="s">
        <v>195</v>
      </c>
      <c r="J14" s="5" t="s">
        <v>196</v>
      </c>
      <c r="K14" s="5" t="s">
        <v>163</v>
      </c>
      <c r="L14" s="5" t="s">
        <v>197</v>
      </c>
      <c r="M14" s="5" t="s">
        <v>164</v>
      </c>
      <c r="N14" s="6" t="s">
        <v>198</v>
      </c>
      <c r="O14" s="664"/>
      <c r="P14" s="7" t="s">
        <v>247</v>
      </c>
      <c r="Q14" s="8" t="s">
        <v>247</v>
      </c>
    </row>
    <row r="15" spans="1:29" ht="12.75" customHeight="1">
      <c r="A15" s="197">
        <v>1</v>
      </c>
      <c r="B15" s="198"/>
      <c r="C15" s="200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9">
        <f>SUM(C15:N15)</f>
        <v>0</v>
      </c>
      <c r="P15" s="33">
        <f>IF(COUNTIF($C15:$N15,"&gt;0"),COUNTIF($C15:$N15,"&gt;0")*2,0)</f>
        <v>0</v>
      </c>
      <c r="Q15" s="34">
        <f>IF(COUNTIF($C15:$N15,"&gt;0"),COUNTIF($C15:$N15,"&gt;0")*2,0)</f>
        <v>0</v>
      </c>
      <c r="R15" s="290" t="str">
        <f>IF(COUNTIF($C15:$N15,"&gt;0")&gt;0,IF(SMALL($C15:$N15,1)&gt;=15," ","NAPAKA 1")," ")</f>
        <v> </v>
      </c>
      <c r="S15" s="665">
        <f>IF((COUNTIF(C15:N15,"&gt;0")+COUNTIF(C16:N16,"&gt;0")+COUNTIF(C32:N32,"&gt;0"))&lt;&gt;X15,"NAPAKA 2","")</f>
      </c>
      <c r="T15" s="290"/>
      <c r="U15" s="676">
        <v>1</v>
      </c>
      <c r="V15" s="31">
        <v>1</v>
      </c>
      <c r="W15" s="629">
        <f>O15+O16+O32</f>
        <v>0</v>
      </c>
      <c r="X15" s="629">
        <f>VLOOKUP(W15,$AA$15:$AC$27,3,TRUE)</f>
        <v>0</v>
      </c>
      <c r="Y15" s="629">
        <f>COUNTIF(C15:N15,"&gt;0")+COUNTIF(C16:N16,"&gt;0")+COUNTIF(C32:N32,"&gt;0")</f>
        <v>0</v>
      </c>
      <c r="AA15" s="21">
        <v>0</v>
      </c>
      <c r="AB15" s="21">
        <v>14</v>
      </c>
      <c r="AC15" s="24">
        <v>0</v>
      </c>
    </row>
    <row r="16" spans="1:29" ht="12.75" customHeight="1">
      <c r="A16" s="11" t="s">
        <v>164</v>
      </c>
      <c r="B16" s="202" t="s">
        <v>199</v>
      </c>
      <c r="C16" s="204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3">
        <f aca="true" t="shared" si="0" ref="O16:O34">SUM(C16:N16)</f>
        <v>0</v>
      </c>
      <c r="P16" s="35">
        <f aca="true" t="shared" si="1" ref="P16:Q34">IF(COUNTIF($C16:$N16,"&gt;0"),COUNTIF($C16:$N16,"&gt;0")*2,0)</f>
        <v>0</v>
      </c>
      <c r="Q16" s="36">
        <f t="shared" si="1"/>
        <v>0</v>
      </c>
      <c r="R16" s="290" t="str">
        <f aca="true" t="shared" si="2" ref="R16:R34">IF(COUNTIF($C16:$N16,"&gt;0")&gt;0,IF(SMALL($C16:$N16,1)&gt;=15," ","NAPAKA 1")," ")</f>
        <v> </v>
      </c>
      <c r="S16" s="665"/>
      <c r="T16" s="290"/>
      <c r="U16" s="676"/>
      <c r="V16" s="31" t="s">
        <v>233</v>
      </c>
      <c r="W16" s="629"/>
      <c r="X16" s="629"/>
      <c r="Y16" s="629"/>
      <c r="AA16" s="21">
        <v>15</v>
      </c>
      <c r="AB16" s="21">
        <v>30</v>
      </c>
      <c r="AC16" s="24">
        <v>1</v>
      </c>
    </row>
    <row r="17" spans="1:29" ht="12.75" customHeight="1">
      <c r="A17" s="201">
        <v>2</v>
      </c>
      <c r="B17" s="205"/>
      <c r="C17" s="204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3">
        <f t="shared" si="0"/>
        <v>0</v>
      </c>
      <c r="P17" s="35">
        <f t="shared" si="1"/>
        <v>0</v>
      </c>
      <c r="Q17" s="36">
        <f t="shared" si="1"/>
        <v>0</v>
      </c>
      <c r="R17" s="290" t="str">
        <f t="shared" si="2"/>
        <v> </v>
      </c>
      <c r="S17" s="665">
        <f>IF((COUNTIF(C17:N17,"&gt;0")+COUNTIF(C18:N18,"&gt;0"))&lt;&gt;X18,"NAPAKA 2","")</f>
      </c>
      <c r="T17" s="290"/>
      <c r="U17" s="676"/>
      <c r="V17" s="31" t="s">
        <v>234</v>
      </c>
      <c r="W17" s="629"/>
      <c r="X17" s="629"/>
      <c r="Y17" s="629"/>
      <c r="AA17" s="21">
        <v>31</v>
      </c>
      <c r="AB17" s="21">
        <v>60</v>
      </c>
      <c r="AC17" s="24">
        <v>2</v>
      </c>
    </row>
    <row r="18" spans="1:29" ht="12.75" customHeight="1">
      <c r="A18" s="11" t="s">
        <v>164</v>
      </c>
      <c r="B18" s="202" t="s">
        <v>200</v>
      </c>
      <c r="C18" s="204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3">
        <f t="shared" si="0"/>
        <v>0</v>
      </c>
      <c r="P18" s="35">
        <f t="shared" si="1"/>
        <v>0</v>
      </c>
      <c r="Q18" s="36">
        <f t="shared" si="1"/>
        <v>0</v>
      </c>
      <c r="R18" s="290" t="str">
        <f t="shared" si="2"/>
        <v> </v>
      </c>
      <c r="S18" s="665"/>
      <c r="T18" s="290"/>
      <c r="U18" s="676">
        <v>2</v>
      </c>
      <c r="V18" s="31">
        <v>2</v>
      </c>
      <c r="W18" s="629">
        <f>O17+O18</f>
        <v>0</v>
      </c>
      <c r="X18" s="629">
        <f>VLOOKUP(W18,$AA$15:$AC$27,3,TRUE)</f>
        <v>0</v>
      </c>
      <c r="Y18" s="629">
        <f>COUNTIF(C17:N17,"&gt;0")+COUNTIF(C18:N18,"&gt;0")</f>
        <v>0</v>
      </c>
      <c r="AA18" s="21">
        <v>61</v>
      </c>
      <c r="AB18" s="21">
        <v>90</v>
      </c>
      <c r="AC18" s="24">
        <v>3</v>
      </c>
    </row>
    <row r="19" spans="1:29" ht="12.75" customHeight="1">
      <c r="A19" s="201">
        <v>3</v>
      </c>
      <c r="B19" s="205"/>
      <c r="C19" s="204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3">
        <f t="shared" si="0"/>
        <v>0</v>
      </c>
      <c r="P19" s="35">
        <f t="shared" si="1"/>
        <v>0</v>
      </c>
      <c r="Q19" s="36">
        <f t="shared" si="1"/>
        <v>0</v>
      </c>
      <c r="R19" s="290" t="str">
        <f t="shared" si="2"/>
        <v> </v>
      </c>
      <c r="S19" s="665">
        <f>IF((COUNTIF(C19:N19,"&gt;0")+COUNTIF(C20:N20,"&gt;0"))&lt;&gt;X20,"NAPAKA 2","")</f>
      </c>
      <c r="T19" s="290"/>
      <c r="U19" s="676"/>
      <c r="V19" s="31" t="s">
        <v>235</v>
      </c>
      <c r="W19" s="629"/>
      <c r="X19" s="629"/>
      <c r="Y19" s="629"/>
      <c r="AA19" s="21">
        <v>91</v>
      </c>
      <c r="AB19" s="21">
        <v>120</v>
      </c>
      <c r="AC19" s="24">
        <v>4</v>
      </c>
    </row>
    <row r="20" spans="1:29" ht="12.75" customHeight="1">
      <c r="A20" s="11" t="s">
        <v>164</v>
      </c>
      <c r="B20" s="206" t="s">
        <v>201</v>
      </c>
      <c r="C20" s="204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3">
        <f t="shared" si="0"/>
        <v>0</v>
      </c>
      <c r="P20" s="35">
        <f t="shared" si="1"/>
        <v>0</v>
      </c>
      <c r="Q20" s="36">
        <f t="shared" si="1"/>
        <v>0</v>
      </c>
      <c r="R20" s="290" t="str">
        <f t="shared" si="2"/>
        <v> </v>
      </c>
      <c r="S20" s="665"/>
      <c r="T20" s="290"/>
      <c r="U20" s="676">
        <v>3</v>
      </c>
      <c r="V20" s="31">
        <v>3</v>
      </c>
      <c r="W20" s="629">
        <f>O19+O20</f>
        <v>0</v>
      </c>
      <c r="X20" s="629">
        <f>VLOOKUP(W20,$AA$15:$AC$27,3,TRUE)</f>
        <v>0</v>
      </c>
      <c r="Y20" s="629">
        <f>COUNTIF(C19:N19,"&gt;0")+COUNTIF(C20:N20,"&gt;0")</f>
        <v>0</v>
      </c>
      <c r="AA20" s="21">
        <v>121</v>
      </c>
      <c r="AB20" s="21">
        <v>150</v>
      </c>
      <c r="AC20" s="24">
        <v>5</v>
      </c>
    </row>
    <row r="21" spans="1:29" ht="12.75" customHeight="1">
      <c r="A21" s="201">
        <v>4</v>
      </c>
      <c r="B21" s="205"/>
      <c r="C21" s="204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3">
        <f t="shared" si="0"/>
        <v>0</v>
      </c>
      <c r="P21" s="35">
        <f t="shared" si="1"/>
        <v>0</v>
      </c>
      <c r="Q21" s="36">
        <f t="shared" si="1"/>
        <v>0</v>
      </c>
      <c r="R21" s="290" t="str">
        <f t="shared" si="2"/>
        <v> </v>
      </c>
      <c r="S21" s="665">
        <f>IF((COUNTIF(C21:N21,"&gt;0")+COUNTIF(C22:N22,"&gt;0")+COUNTIF(C33:N33,"&gt;0"))&lt;&gt;X22,"NAPAKA 2","")</f>
      </c>
      <c r="T21" s="290"/>
      <c r="U21" s="676"/>
      <c r="V21" s="31" t="s">
        <v>236</v>
      </c>
      <c r="W21" s="629"/>
      <c r="X21" s="629"/>
      <c r="Y21" s="629"/>
      <c r="AA21" s="21">
        <v>151</v>
      </c>
      <c r="AB21" s="21">
        <v>180</v>
      </c>
      <c r="AC21" s="24">
        <v>6</v>
      </c>
    </row>
    <row r="22" spans="1:29" ht="12.75" customHeight="1">
      <c r="A22" s="11" t="s">
        <v>164</v>
      </c>
      <c r="B22" s="206" t="s">
        <v>202</v>
      </c>
      <c r="C22" s="204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3">
        <f t="shared" si="0"/>
        <v>0</v>
      </c>
      <c r="P22" s="35">
        <f t="shared" si="1"/>
        <v>0</v>
      </c>
      <c r="Q22" s="36">
        <f t="shared" si="1"/>
        <v>0</v>
      </c>
      <c r="R22" s="290" t="str">
        <f t="shared" si="2"/>
        <v> </v>
      </c>
      <c r="S22" s="665"/>
      <c r="T22" s="290"/>
      <c r="U22" s="676">
        <v>4</v>
      </c>
      <c r="V22" s="31">
        <v>4</v>
      </c>
      <c r="W22" s="629">
        <f>O21+O22+O33</f>
        <v>0</v>
      </c>
      <c r="X22" s="629">
        <f>VLOOKUP(W22,$AA$15:$AC$27,3,TRUE)</f>
        <v>0</v>
      </c>
      <c r="Y22" s="629">
        <f>COUNTIF(C22:N22,"&gt;0")+COUNTIF(C21:N21,"&gt;0")+COUNTIF(C33:N33,"&gt;0")</f>
        <v>0</v>
      </c>
      <c r="AA22" s="21">
        <v>181</v>
      </c>
      <c r="AB22" s="21">
        <v>210</v>
      </c>
      <c r="AC22" s="24">
        <v>7</v>
      </c>
    </row>
    <row r="23" spans="1:29" ht="12.75" customHeight="1">
      <c r="A23" s="201">
        <v>5</v>
      </c>
      <c r="B23" s="205"/>
      <c r="C23" s="204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3">
        <f t="shared" si="0"/>
        <v>0</v>
      </c>
      <c r="P23" s="35">
        <f t="shared" si="1"/>
        <v>0</v>
      </c>
      <c r="Q23" s="36">
        <f t="shared" si="1"/>
        <v>0</v>
      </c>
      <c r="R23" s="290" t="str">
        <f t="shared" si="2"/>
        <v> </v>
      </c>
      <c r="S23" s="665">
        <f>IF((COUNTIF(C23:N23,"&gt;0")+COUNTIF(C24:N24,"&gt;0"))&lt;&gt;X25,"NAPAKA 2","")</f>
      </c>
      <c r="T23" s="290"/>
      <c r="U23" s="676"/>
      <c r="V23" s="31" t="s">
        <v>237</v>
      </c>
      <c r="W23" s="629"/>
      <c r="X23" s="629"/>
      <c r="Y23" s="629"/>
      <c r="AA23" s="21">
        <v>211</v>
      </c>
      <c r="AB23" s="21">
        <v>240</v>
      </c>
      <c r="AC23" s="24">
        <v>8</v>
      </c>
    </row>
    <row r="24" spans="1:29" ht="12.75" customHeight="1">
      <c r="A24" s="11" t="s">
        <v>164</v>
      </c>
      <c r="B24" s="206" t="s">
        <v>203</v>
      </c>
      <c r="C24" s="204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3">
        <f t="shared" si="0"/>
        <v>0</v>
      </c>
      <c r="P24" s="35">
        <f t="shared" si="1"/>
        <v>0</v>
      </c>
      <c r="Q24" s="36">
        <f t="shared" si="1"/>
        <v>0</v>
      </c>
      <c r="R24" s="290" t="str">
        <f t="shared" si="2"/>
        <v> </v>
      </c>
      <c r="S24" s="665"/>
      <c r="T24" s="290"/>
      <c r="U24" s="676"/>
      <c r="V24" s="31" t="s">
        <v>238</v>
      </c>
      <c r="W24" s="629"/>
      <c r="X24" s="629"/>
      <c r="Y24" s="629"/>
      <c r="AA24" s="21">
        <v>241</v>
      </c>
      <c r="AB24" s="21">
        <v>270</v>
      </c>
      <c r="AC24" s="24">
        <v>9</v>
      </c>
    </row>
    <row r="25" spans="1:29" ht="12.75" customHeight="1">
      <c r="A25" s="201">
        <v>6</v>
      </c>
      <c r="B25" s="205"/>
      <c r="C25" s="204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13">
        <f t="shared" si="0"/>
        <v>0</v>
      </c>
      <c r="P25" s="35">
        <f t="shared" si="1"/>
        <v>0</v>
      </c>
      <c r="Q25" s="36">
        <f aca="true" t="shared" si="3" ref="Q25:Q31">IF(COUNTIF($C25:$N25,"&gt;0"),COUNTIF($C25:$N25,"&gt;0")*3,0)</f>
        <v>0</v>
      </c>
      <c r="R25" s="290" t="str">
        <f t="shared" si="2"/>
        <v> </v>
      </c>
      <c r="S25" s="665">
        <f>IF((COUNTIF(C25:N25,"&gt;0")+COUNTIF(C26:N26,"&gt;0"))&lt;&gt;X27,"NAPAKA 2","")</f>
      </c>
      <c r="T25" s="290"/>
      <c r="U25" s="676">
        <v>5</v>
      </c>
      <c r="V25" s="31">
        <v>5</v>
      </c>
      <c r="W25" s="629">
        <f>O23+O24</f>
        <v>0</v>
      </c>
      <c r="X25" s="629">
        <f>VLOOKUP(W25,$AA$15:$AC$27,3,TRUE)</f>
        <v>0</v>
      </c>
      <c r="Y25" s="629">
        <f>COUNTIF(C24:N24,"&gt;0")+COUNTIF(C23:N23,"&gt;0")</f>
        <v>0</v>
      </c>
      <c r="AA25" s="21">
        <v>271</v>
      </c>
      <c r="AB25" s="21">
        <v>300</v>
      </c>
      <c r="AC25" s="24">
        <v>10</v>
      </c>
    </row>
    <row r="26" spans="1:29" ht="12.75" customHeight="1">
      <c r="A26" s="11" t="s">
        <v>164</v>
      </c>
      <c r="B26" s="206" t="s">
        <v>204</v>
      </c>
      <c r="C26" s="204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3">
        <f t="shared" si="0"/>
        <v>0</v>
      </c>
      <c r="P26" s="35">
        <f t="shared" si="1"/>
        <v>0</v>
      </c>
      <c r="Q26" s="36">
        <f t="shared" si="3"/>
        <v>0</v>
      </c>
      <c r="R26" s="290" t="str">
        <f t="shared" si="2"/>
        <v> </v>
      </c>
      <c r="S26" s="665"/>
      <c r="T26" s="290"/>
      <c r="U26" s="676"/>
      <c r="V26" s="31" t="s">
        <v>239</v>
      </c>
      <c r="W26" s="629"/>
      <c r="X26" s="629"/>
      <c r="Y26" s="629"/>
      <c r="AA26" s="21">
        <v>301</v>
      </c>
      <c r="AB26" s="21">
        <v>330</v>
      </c>
      <c r="AC26" s="24">
        <v>11</v>
      </c>
    </row>
    <row r="27" spans="1:29" ht="12.75" customHeight="1">
      <c r="A27" s="201">
        <v>7</v>
      </c>
      <c r="B27" s="205"/>
      <c r="C27" s="204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3">
        <f t="shared" si="0"/>
        <v>0</v>
      </c>
      <c r="P27" s="35">
        <f t="shared" si="1"/>
        <v>0</v>
      </c>
      <c r="Q27" s="36">
        <f t="shared" si="3"/>
        <v>0</v>
      </c>
      <c r="R27" s="290" t="str">
        <f t="shared" si="2"/>
        <v> </v>
      </c>
      <c r="S27" s="665">
        <f>IF((COUNTIF(C27:N27,"&gt;0")+COUNTIF(C28:N28,"&gt;0")+COUNTIF(C34:N34,"&gt;0"))&lt;&gt;X29,"NAPAKA 2","")</f>
      </c>
      <c r="T27" s="290"/>
      <c r="U27" s="676">
        <v>6</v>
      </c>
      <c r="V27" s="31">
        <v>6</v>
      </c>
      <c r="W27" s="629">
        <f>O25+O26</f>
        <v>0</v>
      </c>
      <c r="X27" s="629">
        <f>VLOOKUP(W27,$AA$15:$AC$27,3,TRUE)</f>
        <v>0</v>
      </c>
      <c r="Y27" s="629">
        <f>COUNTIF(C26:N26,"&gt;0")+COUNTIF(C25:N25,"&gt;0")</f>
        <v>0</v>
      </c>
      <c r="AA27" s="21">
        <v>331</v>
      </c>
      <c r="AB27" s="21">
        <v>360</v>
      </c>
      <c r="AC27" s="24">
        <v>12</v>
      </c>
    </row>
    <row r="28" spans="1:25" ht="12.75" customHeight="1">
      <c r="A28" s="11" t="s">
        <v>164</v>
      </c>
      <c r="B28" s="206" t="s">
        <v>205</v>
      </c>
      <c r="C28" s="204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3">
        <f t="shared" si="0"/>
        <v>0</v>
      </c>
      <c r="P28" s="35">
        <f t="shared" si="1"/>
        <v>0</v>
      </c>
      <c r="Q28" s="36">
        <f t="shared" si="3"/>
        <v>0</v>
      </c>
      <c r="R28" s="290" t="str">
        <f t="shared" si="2"/>
        <v> </v>
      </c>
      <c r="S28" s="665"/>
      <c r="T28" s="290"/>
      <c r="U28" s="676"/>
      <c r="V28" s="31" t="s">
        <v>240</v>
      </c>
      <c r="W28" s="629"/>
      <c r="X28" s="629"/>
      <c r="Y28" s="629"/>
    </row>
    <row r="29" spans="1:25" ht="12.75" customHeight="1">
      <c r="A29" s="201">
        <v>8</v>
      </c>
      <c r="B29" s="205"/>
      <c r="C29" s="2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13">
        <f t="shared" si="0"/>
        <v>0</v>
      </c>
      <c r="P29" s="35">
        <f t="shared" si="1"/>
        <v>0</v>
      </c>
      <c r="Q29" s="36">
        <f t="shared" si="3"/>
        <v>0</v>
      </c>
      <c r="R29" s="290" t="str">
        <f t="shared" si="2"/>
        <v> </v>
      </c>
      <c r="S29" s="665">
        <f>IF((COUNTIF(C29:N29,"&gt;0")+COUNTIF(C30:N30,"&gt;0"))&lt;&gt;X32,"NAPAKA 2","")</f>
      </c>
      <c r="T29" s="290"/>
      <c r="U29" s="676">
        <v>7</v>
      </c>
      <c r="V29" s="31">
        <v>7</v>
      </c>
      <c r="W29" s="629">
        <f>+O27+O28+O34</f>
        <v>0</v>
      </c>
      <c r="X29" s="629">
        <f>VLOOKUP(W29,$AA$15:$AC$27,3,TRUE)</f>
        <v>0</v>
      </c>
      <c r="Y29" s="629">
        <f>COUNTIF(C27:N27,"&gt;0")+COUNTIF(C28:N28,"&gt;0")+COUNTIF(C34:N34,"&gt;0")</f>
        <v>0</v>
      </c>
    </row>
    <row r="30" spans="1:25" ht="12.75" customHeight="1">
      <c r="A30" s="11" t="s">
        <v>164</v>
      </c>
      <c r="B30" s="206" t="s">
        <v>206</v>
      </c>
      <c r="C30" s="204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3">
        <f t="shared" si="0"/>
        <v>0</v>
      </c>
      <c r="P30" s="35">
        <f t="shared" si="1"/>
        <v>0</v>
      </c>
      <c r="Q30" s="36">
        <f t="shared" si="3"/>
        <v>0</v>
      </c>
      <c r="R30" s="290" t="str">
        <f t="shared" si="2"/>
        <v> </v>
      </c>
      <c r="S30" s="665"/>
      <c r="T30" s="290"/>
      <c r="U30" s="676"/>
      <c r="V30" s="31" t="s">
        <v>241</v>
      </c>
      <c r="W30" s="629"/>
      <c r="X30" s="629"/>
      <c r="Y30" s="629"/>
    </row>
    <row r="31" spans="1:25" ht="12.75" customHeight="1">
      <c r="A31" s="207">
        <v>9</v>
      </c>
      <c r="B31" s="208"/>
      <c r="C31" s="209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4">
        <f t="shared" si="0"/>
        <v>0</v>
      </c>
      <c r="P31" s="37">
        <f t="shared" si="1"/>
        <v>0</v>
      </c>
      <c r="Q31" s="38">
        <f t="shared" si="3"/>
        <v>0</v>
      </c>
      <c r="R31" s="290" t="str">
        <f t="shared" si="2"/>
        <v> </v>
      </c>
      <c r="S31" s="290">
        <f>IF(COUNTIF(C31:N31,"&gt;0")&lt;&gt;X34,"NAPAKA 2","")</f>
      </c>
      <c r="T31" s="290"/>
      <c r="U31" s="676"/>
      <c r="V31" s="31" t="s">
        <v>242</v>
      </c>
      <c r="W31" s="629"/>
      <c r="X31" s="629"/>
      <c r="Y31" s="629"/>
    </row>
    <row r="32" spans="1:25" ht="12.75" customHeight="1">
      <c r="A32" s="11" t="s">
        <v>164</v>
      </c>
      <c r="B32" s="206" t="s">
        <v>207</v>
      </c>
      <c r="C32" s="20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2">
        <f t="shared" si="0"/>
        <v>0</v>
      </c>
      <c r="P32" s="37">
        <f t="shared" si="1"/>
        <v>0</v>
      </c>
      <c r="Q32" s="38">
        <f t="shared" si="1"/>
        <v>0</v>
      </c>
      <c r="R32" s="290" t="str">
        <f t="shared" si="2"/>
        <v> </v>
      </c>
      <c r="S32" s="290">
        <f>S15</f>
      </c>
      <c r="T32" s="290"/>
      <c r="U32" s="676">
        <v>8</v>
      </c>
      <c r="V32" s="31">
        <v>8</v>
      </c>
      <c r="W32" s="629">
        <f>+O29+O30</f>
        <v>0</v>
      </c>
      <c r="X32" s="629">
        <f>VLOOKUP(W32,$AA$15:$AC$27,3,TRUE)</f>
        <v>0</v>
      </c>
      <c r="Y32" s="629">
        <f>COUNTIF(C29:N29,"&gt;0")+COUNTIF(C30:N30,"&gt;0")</f>
        <v>0</v>
      </c>
    </row>
    <row r="33" spans="1:25" ht="12.75" customHeight="1">
      <c r="A33" s="11" t="s">
        <v>164</v>
      </c>
      <c r="B33" s="206" t="s">
        <v>208</v>
      </c>
      <c r="C33" s="20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2">
        <f t="shared" si="0"/>
        <v>0</v>
      </c>
      <c r="P33" s="37">
        <f t="shared" si="1"/>
        <v>0</v>
      </c>
      <c r="Q33" s="38">
        <f t="shared" si="1"/>
        <v>0</v>
      </c>
      <c r="R33" s="290" t="str">
        <f t="shared" si="2"/>
        <v> </v>
      </c>
      <c r="S33" s="290">
        <f>S21</f>
      </c>
      <c r="T33" s="290"/>
      <c r="U33" s="676"/>
      <c r="V33" s="31" t="s">
        <v>243</v>
      </c>
      <c r="W33" s="629"/>
      <c r="X33" s="629"/>
      <c r="Y33" s="629"/>
    </row>
    <row r="34" spans="1:25" ht="12.75" customHeight="1">
      <c r="A34" s="15" t="s">
        <v>164</v>
      </c>
      <c r="B34" s="218" t="s">
        <v>209</v>
      </c>
      <c r="C34" s="21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16">
        <f t="shared" si="0"/>
        <v>0</v>
      </c>
      <c r="P34" s="37">
        <f t="shared" si="1"/>
        <v>0</v>
      </c>
      <c r="Q34" s="38">
        <f>IF(COUNTIF($C34:$N34,"&gt;0"),COUNTIF($C34:$N34,"&gt;0")*3,0)</f>
        <v>0</v>
      </c>
      <c r="R34" s="290" t="str">
        <f t="shared" si="2"/>
        <v> </v>
      </c>
      <c r="S34" s="290">
        <f>S27</f>
      </c>
      <c r="T34" s="290"/>
      <c r="U34" s="289">
        <v>9</v>
      </c>
      <c r="V34" s="31">
        <v>9</v>
      </c>
      <c r="W34" s="288">
        <f>+O31</f>
        <v>0</v>
      </c>
      <c r="X34" s="288">
        <f>VLOOKUP(W34,$AA$15:$AC$27,3,TRUE)</f>
        <v>0</v>
      </c>
      <c r="Y34" s="288">
        <f>COUNTIF(C31:N31,"&gt;0")</f>
        <v>0</v>
      </c>
    </row>
    <row r="35" spans="1:25" ht="14.25" customHeight="1">
      <c r="A35" s="678" t="s">
        <v>162</v>
      </c>
      <c r="B35" s="679"/>
      <c r="C35" s="17">
        <f>'obrazec 4'!AI24</f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79">
        <f>SUM(O15:O34)</f>
        <v>0</v>
      </c>
      <c r="P35" s="39">
        <f>SUM(P15:P34)</f>
        <v>0</v>
      </c>
      <c r="Q35" s="40">
        <f>SUM(Q15:Q34)</f>
        <v>0</v>
      </c>
      <c r="U35" s="29"/>
      <c r="V35" s="27"/>
      <c r="W35" s="29">
        <f>SUM(W15:W34)</f>
        <v>0</v>
      </c>
      <c r="X35" s="29">
        <f>SUM(X15:X34)</f>
        <v>0</v>
      </c>
      <c r="Y35" s="29"/>
    </row>
    <row r="36" spans="1:15" ht="14.25">
      <c r="A36" s="32">
        <f>IF(AND(C35&lt;&gt;10,O35&lt;&gt;0),"OPOZORILO: Program na matični in podružničnih šolah ne zajema vseh razredov osnovne šole. PREVERITE !","")</f>
      </c>
      <c r="B36" s="214"/>
      <c r="C36" s="214"/>
      <c r="O36" s="291"/>
    </row>
    <row r="37" spans="1:20" ht="14.25">
      <c r="A37" s="22" t="str">
        <f>IF(OR(R15="NAPAKA 1",R16="NAPAKA 1",R17="NAPAKA 1",R18="NAPAKA 1",R19="NAPAKA 1",R20="NAPAKA 1",R21="NAPAKA 1",R22="NAPAKA 1",R23="NAPAKA 1",R24="NAPAKA 1",R25="NAPAKA 1",R26="NAPAKA 1",R27="NAPAKA 1",R28="NAPAKA 1",R29="NAPAKA 1",R30="NAPAKA 1",R31="NAPAKA 1",R32="NAPAKA 1",R33="NAPAKA 1",R34="NAPAKA 1"),"NAPAKA: V vrstici z oznako NAPAKA 1 je v eni izmed oblikovanih skupin premalo otrok. POPRAVITE !"," ")</f>
        <v> </v>
      </c>
      <c r="B37" s="192"/>
      <c r="C37" s="19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15" ht="14.25">
      <c r="A38" s="22" t="str">
        <f>IF(OR(S15="NAPAKA 2",S17="NAPAKA 2",S19="NAPAKA 2",S21="NAPAKA 2",S23="NAPAKA 2",S25="NAPAKA 2",S27="NAPAKA 2",S29="NAPAKA 2",S31="NAPAKA 2"),"NAPAKA: V vrsticah z oznako NAPAKA 2 je skupno število otrok premajhno (preveliko) za oblikovanje predvidenega števila skupin. Zamnjšajte (povečajte) število skupin. POPRAVITE !"," ")</f>
        <v> </v>
      </c>
      <c r="B38" s="214"/>
      <c r="C38" s="214"/>
      <c r="O38" s="291"/>
    </row>
    <row r="39" spans="1:15" ht="14.25">
      <c r="A39" s="192"/>
      <c r="B39" s="214"/>
      <c r="C39" s="214"/>
      <c r="O39" s="291"/>
    </row>
    <row r="40" spans="1:7" ht="14.25">
      <c r="A40" s="675" t="s">
        <v>245</v>
      </c>
      <c r="B40" s="675"/>
      <c r="C40" s="675"/>
      <c r="D40" s="675"/>
      <c r="E40" s="675"/>
      <c r="F40" s="675"/>
      <c r="G40" s="675"/>
    </row>
    <row r="41" spans="1:15" ht="14.25">
      <c r="A41" s="215" t="s">
        <v>165</v>
      </c>
      <c r="B41" s="215"/>
      <c r="C41" s="216">
        <v>0</v>
      </c>
      <c r="D41" s="24">
        <v>1</v>
      </c>
      <c r="E41" s="24">
        <v>2</v>
      </c>
      <c r="F41" s="24">
        <v>3</v>
      </c>
      <c r="G41" s="24">
        <v>4</v>
      </c>
      <c r="H41" s="24">
        <v>5</v>
      </c>
      <c r="I41" s="24">
        <v>6</v>
      </c>
      <c r="J41" s="24">
        <v>7</v>
      </c>
      <c r="K41" s="24">
        <v>8</v>
      </c>
      <c r="L41" s="24">
        <v>9</v>
      </c>
      <c r="M41" s="24">
        <v>10</v>
      </c>
      <c r="N41" s="24">
        <v>11</v>
      </c>
      <c r="O41" s="24">
        <v>12</v>
      </c>
    </row>
    <row r="42" ht="6" customHeight="1"/>
    <row r="43" spans="1:15" ht="14.25">
      <c r="A43" s="215" t="s">
        <v>166</v>
      </c>
      <c r="B43" s="215"/>
      <c r="C43" s="214">
        <v>0</v>
      </c>
      <c r="D43" s="21">
        <v>15</v>
      </c>
      <c r="E43" s="21">
        <v>31</v>
      </c>
      <c r="F43" s="21">
        <v>61</v>
      </c>
      <c r="G43" s="21">
        <v>91</v>
      </c>
      <c r="H43" s="21">
        <v>121</v>
      </c>
      <c r="I43" s="21">
        <v>151</v>
      </c>
      <c r="J43" s="21">
        <v>181</v>
      </c>
      <c r="K43" s="21">
        <v>211</v>
      </c>
      <c r="L43" s="21">
        <v>241</v>
      </c>
      <c r="M43" s="21">
        <v>271</v>
      </c>
      <c r="N43" s="21">
        <v>301</v>
      </c>
      <c r="O43" s="21">
        <v>331</v>
      </c>
    </row>
    <row r="44" spans="1:15" ht="3" customHeight="1">
      <c r="A44" s="215"/>
      <c r="B44" s="215"/>
      <c r="C44" s="21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ht="14.25">
      <c r="B45" s="213" t="s">
        <v>244</v>
      </c>
      <c r="C45" s="214">
        <v>14</v>
      </c>
      <c r="D45" s="21">
        <v>30</v>
      </c>
      <c r="E45" s="21">
        <v>60</v>
      </c>
      <c r="F45" s="21">
        <v>90</v>
      </c>
      <c r="G45" s="21">
        <v>120</v>
      </c>
      <c r="H45" s="21">
        <v>150</v>
      </c>
      <c r="I45" s="21">
        <v>180</v>
      </c>
      <c r="J45" s="21">
        <v>210</v>
      </c>
      <c r="K45" s="21">
        <v>240</v>
      </c>
      <c r="L45" s="21">
        <v>270</v>
      </c>
      <c r="M45" s="21">
        <v>300</v>
      </c>
      <c r="N45" s="21">
        <v>330</v>
      </c>
      <c r="O45" s="21">
        <v>360</v>
      </c>
    </row>
    <row r="46" spans="5:7" ht="4.5" customHeight="1">
      <c r="E46" s="25"/>
      <c r="F46" s="25"/>
      <c r="G46" s="25"/>
    </row>
    <row r="47" spans="1:19" ht="14.25">
      <c r="A47" s="675" t="s">
        <v>21</v>
      </c>
      <c r="B47" s="675"/>
      <c r="C47" s="675"/>
      <c r="D47" s="675"/>
      <c r="E47" s="675"/>
      <c r="F47" s="675" t="s">
        <v>264</v>
      </c>
      <c r="G47" s="675"/>
      <c r="H47" s="675"/>
      <c r="I47" s="675"/>
      <c r="K47" s="675" t="s">
        <v>344</v>
      </c>
      <c r="L47" s="675"/>
      <c r="M47" s="675"/>
      <c r="N47" s="675"/>
      <c r="P47" s="675" t="s">
        <v>265</v>
      </c>
      <c r="Q47" s="675"/>
      <c r="R47" s="675"/>
      <c r="S47" s="675"/>
    </row>
    <row r="48" spans="5:19" ht="14.25">
      <c r="E48" s="25"/>
      <c r="F48" s="674">
        <f>IF('obrazec 1'!F4="","",IF(AND('obrazec 1'!F47="",J4="",A4=""),"",'obrazec 1'!F12))</f>
      </c>
      <c r="G48" s="674"/>
      <c r="H48" s="674"/>
      <c r="I48" s="674"/>
      <c r="K48" s="674">
        <f>IF('obrazec 1'!F4="","",IF(AND('obrazec 1'!F47="",J4="",A4=""),"",'obrazec 1'!F4))</f>
      </c>
      <c r="L48" s="674"/>
      <c r="M48" s="674"/>
      <c r="N48" s="674"/>
      <c r="P48" s="674">
        <f>+IF('obrazec 1'!$F$3="DA",K53,K52)</f>
      </c>
      <c r="Q48" s="674"/>
      <c r="R48" s="674"/>
      <c r="S48" s="674"/>
    </row>
    <row r="49" spans="1:19" ht="14.25">
      <c r="A49" s="639">
        <f>IF('obrazec 1'!H71="","",IF(AND('obrazec 1'!F47="",J4="",A4=""),"",'obrazec 1'!H71))</f>
      </c>
      <c r="B49" s="639"/>
      <c r="C49" s="639"/>
      <c r="D49" s="639"/>
      <c r="E49" s="25"/>
      <c r="F49" s="677">
        <f>IF('obrazec 1'!F6="","",IF(AND('obrazec 1'!F47="",J4="",A4=""),"",'obrazec 1'!F14))</f>
      </c>
      <c r="G49" s="677"/>
      <c r="H49" s="677"/>
      <c r="I49" s="677"/>
      <c r="K49" s="677">
        <f>IF('obrazec 1'!F6="","",IF(AND('obrazec 1'!F47="",J4="",A4=""),"",'obrazec 1'!F6))</f>
      </c>
      <c r="L49" s="677"/>
      <c r="M49" s="677"/>
      <c r="N49" s="677"/>
      <c r="P49" s="639">
        <f>+IF('obrazec 1'!$F$3="DA",K56,K55)</f>
      </c>
      <c r="Q49" s="639"/>
      <c r="R49" s="639"/>
      <c r="S49" s="639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11" ht="14.25" hidden="1">
      <c r="E52" s="25"/>
      <c r="F52" s="25"/>
      <c r="G52" s="25"/>
      <c r="K52" s="4">
        <f>IF(AND('obrazec 1'!$F$3="NE",'obrazec 1'!$F$47&lt;&gt;""),'obrazec 1'!$F$47,IF(AND('obrazec 1'!$F$3="NE",'obrazec 1'!$F$47=""),"",""))</f>
      </c>
    </row>
    <row r="53" spans="5:11" ht="14.25" hidden="1">
      <c r="E53" s="25"/>
      <c r="F53" s="25"/>
      <c r="G53" s="25"/>
      <c r="K53" s="4">
        <f>IF(AND('obrazec 1'!$F$3="DA",'obrazec 1'!$J$12&lt;&gt;""),'obrazec 1'!$J$12,IF(AND('obrazec 1'!$F$3="DA",'obrazec 1'!$J$12="",$J$4&lt;&gt;""),'obrazec 1'!$F$4,IF(AND('obrazec 1'!$F$3="DA",'obrazec 1'!$J$12="",$J$4=""),"","")))</f>
      </c>
    </row>
    <row r="54" spans="5:7" ht="14.25" hidden="1">
      <c r="E54" s="25"/>
      <c r="F54" s="25"/>
      <c r="G54" s="25"/>
    </row>
    <row r="55" spans="5:11" ht="14.25" hidden="1">
      <c r="E55" s="25"/>
      <c r="F55" s="25"/>
      <c r="G55" s="25"/>
      <c r="K55" s="4">
        <f>IF(AND('obrazec 1'!$F$3="NE",'obrazec 1'!$F$47&lt;&gt;""),'obrazec 1'!$F$49,IF(AND('obrazec 1'!$F$3="NE",'obrazec 1'!$F$47=""),"",""))</f>
      </c>
    </row>
    <row r="56" ht="14.25" hidden="1">
      <c r="K56" s="4">
        <f>IF(AND('obrazec 1'!$F$3="DA",'obrazec 1'!$J$12&lt;&gt;""),'obrazec 1'!$J$14,IF(AND('obrazec 1'!$F$3="DA",'obrazec 1'!$J$12="",$J$4&lt;&gt;""),'obrazec 1'!$F$6,IF(AND('obrazec 1'!$F$3="DA",'obrazec 1'!$J$12="",$J$4=""),"","")))</f>
      </c>
    </row>
    <row r="57" ht="14.25" hidden="1"/>
    <row r="58" ht="14.25" hidden="1">
      <c r="K58" s="4">
        <f>IF(AND('obrazec 1'!$F$3="NE",'obrazec 1'!$F$47&lt;&gt;""),'obrazec 1'!$F$47,IF(AND('obrazec 1'!$F$3="NE",'obrazec 1'!$F$47=""),"",""))</f>
      </c>
    </row>
    <row r="59" ht="14.25" hidden="1">
      <c r="K59" s="4">
        <f>IF(AND('obrazec 1'!$F$3="DA",'obrazec 1'!$J$12&lt;&gt;""),'obrazec 1'!$J$12,IF(AND('obrazec 1'!$F$3="DA",'obrazec 1'!$J$12="",$J$4&lt;&gt;""),"",IF(AND('obrazec 1'!$F$3="DA",'obrazec 1'!$J$12="",$J$4=""),"","")))</f>
      </c>
    </row>
    <row r="60" ht="14.25">
      <c r="K60" s="4">
        <f>IF(AND('obrazec 1'!$F$3="DA",'obrazec 1'!$F$47&lt;&gt;""),'obrazec 1'!$F$47,IF(AND('obrazec 1'!$F$3="DA",'obrazec 1'!$F$47="",$J$4&lt;&gt;""),"",IF(AND('obrazec 1'!$F$3="DA",'obrazec 1'!$F$47="",$J$4=""),"","")))</f>
      </c>
    </row>
  </sheetData>
  <sheetProtection password="C86A" sheet="1" objects="1" scenarios="1" selectLockedCells="1"/>
  <mergeCells count="60">
    <mergeCell ref="F48:I48"/>
    <mergeCell ref="S19:S20"/>
    <mergeCell ref="U20:U21"/>
    <mergeCell ref="W20:W21"/>
    <mergeCell ref="X20:X21"/>
    <mergeCell ref="S23:S24"/>
    <mergeCell ref="S27:S28"/>
    <mergeCell ref="S25:S26"/>
    <mergeCell ref="W22:W24"/>
    <mergeCell ref="X22:X24"/>
    <mergeCell ref="A2:Q2"/>
    <mergeCell ref="A5:Q5"/>
    <mergeCell ref="A13:B14"/>
    <mergeCell ref="C13:N13"/>
    <mergeCell ref="O13:O14"/>
    <mergeCell ref="A4:I4"/>
    <mergeCell ref="J4:Q4"/>
    <mergeCell ref="Y22:Y24"/>
    <mergeCell ref="X15:X17"/>
    <mergeCell ref="Y15:Y17"/>
    <mergeCell ref="S17:S18"/>
    <mergeCell ref="U18:U19"/>
    <mergeCell ref="W18:W19"/>
    <mergeCell ref="X18:X19"/>
    <mergeCell ref="U25:U26"/>
    <mergeCell ref="W25:W26"/>
    <mergeCell ref="X25:X26"/>
    <mergeCell ref="Y18:Y19"/>
    <mergeCell ref="S15:S16"/>
    <mergeCell ref="U15:U17"/>
    <mergeCell ref="W15:W17"/>
    <mergeCell ref="Y20:Y21"/>
    <mergeCell ref="S21:S22"/>
    <mergeCell ref="U22:U24"/>
    <mergeCell ref="Y29:Y31"/>
    <mergeCell ref="S29:S30"/>
    <mergeCell ref="U29:U31"/>
    <mergeCell ref="W29:W31"/>
    <mergeCell ref="X29:X31"/>
    <mergeCell ref="Y25:Y26"/>
    <mergeCell ref="U27:U28"/>
    <mergeCell ref="W27:W28"/>
    <mergeCell ref="X27:X28"/>
    <mergeCell ref="Y27:Y28"/>
    <mergeCell ref="K47:N47"/>
    <mergeCell ref="U32:U33"/>
    <mergeCell ref="W32:W33"/>
    <mergeCell ref="X32:X33"/>
    <mergeCell ref="K48:N48"/>
    <mergeCell ref="P48:S48"/>
    <mergeCell ref="A49:D49"/>
    <mergeCell ref="F49:I49"/>
    <mergeCell ref="P49:S49"/>
    <mergeCell ref="K49:N49"/>
    <mergeCell ref="Y32:Y33"/>
    <mergeCell ref="A35:B35"/>
    <mergeCell ref="A47:E47"/>
    <mergeCell ref="F47:I47"/>
    <mergeCell ref="P47:S47"/>
    <mergeCell ref="A40:G40"/>
  </mergeCells>
  <printOptions/>
  <pageMargins left="0.7874015748031497" right="0.7874015748031497" top="0.31496062992125984" bottom="0.31496062992125984" header="0.31496062992125984" footer="0.31496062992125984"/>
  <pageSetup horizontalDpi="600" verticalDpi="600" orientation="landscape" paperSize="9" scale="88" r:id="rId1"/>
  <headerFooter>
    <oddFooter>&amp;R&amp;K00-024&amp;A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C59"/>
  <sheetViews>
    <sheetView showGridLines="0" zoomScalePageLayoutView="0" workbookViewId="0" topLeftCell="B1">
      <selection activeCell="C15" sqref="C15"/>
    </sheetView>
  </sheetViews>
  <sheetFormatPr defaultColWidth="9.140625" defaultRowHeight="15"/>
  <cols>
    <col min="1" max="2" width="4.421875" style="217" customWidth="1"/>
    <col min="3" max="3" width="7.28125" style="118" customWidth="1"/>
    <col min="4" max="14" width="7.28125" style="4" customWidth="1"/>
    <col min="15" max="15" width="8.7109375" style="4" customWidth="1"/>
    <col min="16" max="17" width="7.7109375" style="4" customWidth="1"/>
    <col min="18" max="19" width="5.7109375" style="4" customWidth="1"/>
    <col min="20" max="20" width="4.7109375" style="4" hidden="1" customWidth="1"/>
    <col min="21" max="21" width="1.7109375" style="4" hidden="1" customWidth="1"/>
    <col min="22" max="22" width="4.00390625" style="4" hidden="1" customWidth="1"/>
    <col min="23" max="25" width="4.7109375" style="4" hidden="1" customWidth="1"/>
    <col min="26" max="26" width="3.7109375" style="4" hidden="1" customWidth="1"/>
    <col min="27" max="30" width="8.8515625" style="4" hidden="1" customWidth="1"/>
    <col min="31" max="16384" width="8.8515625" style="4" customWidth="1"/>
  </cols>
  <sheetData>
    <row r="1" ht="4.5" customHeight="1"/>
    <row r="2" spans="1:17" ht="15" customHeight="1">
      <c r="A2" s="662">
        <f>IF('obrazec 1'!F4="","",IF(AND('obrazec 1'!$F$3="NE",'obrazec 1'!J47="",$J$4=""),"",IF(AND('obrazec 1'!$F$3="DA",'obrazec 1'!F47="",$J$4=""),"",'obrazec 1'!F4)))</f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</row>
    <row r="3" ht="4.5" customHeight="1"/>
    <row r="4" spans="1:18" ht="14.25" customHeight="1">
      <c r="A4" s="681">
        <f>IF('obrazec 1'!F3="DA",K59,K58)</f>
      </c>
      <c r="B4" s="681"/>
      <c r="C4" s="681"/>
      <c r="D4" s="681"/>
      <c r="E4" s="681"/>
      <c r="F4" s="681"/>
      <c r="G4" s="681"/>
      <c r="H4" s="681"/>
      <c r="I4" s="681"/>
      <c r="J4" s="682"/>
      <c r="K4" s="682"/>
      <c r="L4" s="682"/>
      <c r="M4" s="682"/>
      <c r="N4" s="682"/>
      <c r="O4" s="682"/>
      <c r="P4" s="682"/>
      <c r="Q4" s="682"/>
      <c r="R4" s="478">
        <f>IF(AND(A4&lt;&gt;"",J4&lt;&gt;""),"NAPAKA - polje kamor se vpisuje ime podružnice mora biti prazno!","")</f>
      </c>
    </row>
    <row r="5" spans="1:17" ht="9.75" customHeight="1">
      <c r="A5" s="680" t="s">
        <v>398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</row>
    <row r="6" ht="4.5" customHeight="1"/>
    <row r="7" ht="14.25">
      <c r="A7" s="215" t="s">
        <v>210</v>
      </c>
    </row>
    <row r="8" ht="14.25">
      <c r="A8" s="215" t="s">
        <v>288</v>
      </c>
    </row>
    <row r="9" ht="14.25">
      <c r="A9" s="215" t="s">
        <v>459</v>
      </c>
    </row>
    <row r="10" ht="14.25">
      <c r="A10" s="215" t="s">
        <v>460</v>
      </c>
    </row>
    <row r="11" ht="14.25">
      <c r="A11" s="479" t="s">
        <v>400</v>
      </c>
    </row>
    <row r="12" ht="4.5" customHeight="1"/>
    <row r="13" spans="1:20" ht="14.25">
      <c r="A13" s="666" t="s">
        <v>161</v>
      </c>
      <c r="B13" s="667"/>
      <c r="C13" s="670" t="s">
        <v>374</v>
      </c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2"/>
      <c r="O13" s="663" t="s">
        <v>162</v>
      </c>
      <c r="P13" s="1" t="s">
        <v>246</v>
      </c>
      <c r="Q13" s="2" t="s">
        <v>248</v>
      </c>
      <c r="R13" s="291"/>
      <c r="S13" s="291"/>
      <c r="T13" s="291"/>
    </row>
    <row r="14" spans="1:17" ht="14.25">
      <c r="A14" s="668"/>
      <c r="B14" s="669"/>
      <c r="C14" s="196" t="s">
        <v>189</v>
      </c>
      <c r="D14" s="5" t="s">
        <v>190</v>
      </c>
      <c r="E14" s="5" t="s">
        <v>191</v>
      </c>
      <c r="F14" s="5" t="s">
        <v>192</v>
      </c>
      <c r="G14" s="5" t="s">
        <v>193</v>
      </c>
      <c r="H14" s="5" t="s">
        <v>194</v>
      </c>
      <c r="I14" s="5" t="s">
        <v>195</v>
      </c>
      <c r="J14" s="5" t="s">
        <v>196</v>
      </c>
      <c r="K14" s="5" t="s">
        <v>163</v>
      </c>
      <c r="L14" s="5" t="s">
        <v>197</v>
      </c>
      <c r="M14" s="5" t="s">
        <v>164</v>
      </c>
      <c r="N14" s="6" t="s">
        <v>198</v>
      </c>
      <c r="O14" s="664"/>
      <c r="P14" s="7" t="s">
        <v>247</v>
      </c>
      <c r="Q14" s="8" t="s">
        <v>247</v>
      </c>
    </row>
    <row r="15" spans="1:29" ht="12.75" customHeight="1">
      <c r="A15" s="197">
        <v>1</v>
      </c>
      <c r="B15" s="198"/>
      <c r="C15" s="200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9">
        <f>SUM(C15:N15)</f>
        <v>0</v>
      </c>
      <c r="P15" s="33">
        <f>IF(COUNTIF($C15:$N15,"&gt;0"),COUNTIF($C15:$N15,"&gt;0")*2,0)</f>
        <v>0</v>
      </c>
      <c r="Q15" s="34">
        <f>IF(COUNTIF($C15:$N15,"&gt;0"),COUNTIF($C15:$N15,"&gt;0")*2,0)</f>
        <v>0</v>
      </c>
      <c r="R15" s="290" t="str">
        <f>IF(COUNTIF($C15:$N15,"&gt;0")&gt;0,IF(SMALL($C15:$N15,1)&gt;=15," ","NAPAKA 1")," ")</f>
        <v> </v>
      </c>
      <c r="S15" s="665">
        <f>IF((COUNTIF(C15:N15,"&gt;0")+COUNTIF(C16:N16,"&gt;0")+COUNTIF(C32:N32,"&gt;0"))&lt;&gt;X15,"NAPAKA 2","")</f>
      </c>
      <c r="T15" s="290"/>
      <c r="U15" s="676">
        <v>1</v>
      </c>
      <c r="V15" s="31">
        <v>1</v>
      </c>
      <c r="W15" s="629">
        <f>O15+O16+O32</f>
        <v>0</v>
      </c>
      <c r="X15" s="629">
        <f>VLOOKUP(W15,$AA$15:$AC$27,3,TRUE)</f>
        <v>0</v>
      </c>
      <c r="Y15" s="629">
        <f>COUNTIF(C15:N15,"&gt;0")+COUNTIF(C16:N16,"&gt;0")+COUNTIF(C32:N32,"&gt;0")</f>
        <v>0</v>
      </c>
      <c r="AA15" s="21">
        <v>0</v>
      </c>
      <c r="AB15" s="21">
        <v>14</v>
      </c>
      <c r="AC15" s="24">
        <v>0</v>
      </c>
    </row>
    <row r="16" spans="1:29" ht="12.75" customHeight="1">
      <c r="A16" s="11" t="s">
        <v>164</v>
      </c>
      <c r="B16" s="202" t="s">
        <v>199</v>
      </c>
      <c r="C16" s="204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3">
        <f aca="true" t="shared" si="0" ref="O16:O34">SUM(C16:N16)</f>
        <v>0</v>
      </c>
      <c r="P16" s="35">
        <f aca="true" t="shared" si="1" ref="P16:Q34">IF(COUNTIF($C16:$N16,"&gt;0"),COUNTIF($C16:$N16,"&gt;0")*2,0)</f>
        <v>0</v>
      </c>
      <c r="Q16" s="36">
        <f t="shared" si="1"/>
        <v>0</v>
      </c>
      <c r="R16" s="290" t="str">
        <f aca="true" t="shared" si="2" ref="R16:R34">IF(COUNTIF($C16:$N16,"&gt;0")&gt;0,IF(SMALL($C16:$N16,1)&gt;=15," ","NAPAKA 1")," ")</f>
        <v> </v>
      </c>
      <c r="S16" s="665"/>
      <c r="T16" s="290"/>
      <c r="U16" s="676"/>
      <c r="V16" s="31" t="s">
        <v>233</v>
      </c>
      <c r="W16" s="629"/>
      <c r="X16" s="629"/>
      <c r="Y16" s="629"/>
      <c r="AA16" s="21">
        <v>15</v>
      </c>
      <c r="AB16" s="21">
        <v>30</v>
      </c>
      <c r="AC16" s="24">
        <v>1</v>
      </c>
    </row>
    <row r="17" spans="1:29" ht="12.75" customHeight="1">
      <c r="A17" s="201">
        <v>2</v>
      </c>
      <c r="B17" s="205"/>
      <c r="C17" s="204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3">
        <f t="shared" si="0"/>
        <v>0</v>
      </c>
      <c r="P17" s="35">
        <f t="shared" si="1"/>
        <v>0</v>
      </c>
      <c r="Q17" s="36">
        <f t="shared" si="1"/>
        <v>0</v>
      </c>
      <c r="R17" s="290" t="str">
        <f t="shared" si="2"/>
        <v> </v>
      </c>
      <c r="S17" s="665">
        <f>IF((COUNTIF(C17:N17,"&gt;0")+COUNTIF(C18:N18,"&gt;0"))&lt;&gt;X18,"NAPAKA 2","")</f>
      </c>
      <c r="T17" s="290"/>
      <c r="U17" s="676"/>
      <c r="V17" s="31" t="s">
        <v>234</v>
      </c>
      <c r="W17" s="629"/>
      <c r="X17" s="629"/>
      <c r="Y17" s="629"/>
      <c r="AA17" s="21">
        <v>31</v>
      </c>
      <c r="AB17" s="21">
        <v>60</v>
      </c>
      <c r="AC17" s="24">
        <v>2</v>
      </c>
    </row>
    <row r="18" spans="1:29" ht="12.75" customHeight="1">
      <c r="A18" s="11" t="s">
        <v>164</v>
      </c>
      <c r="B18" s="202" t="s">
        <v>200</v>
      </c>
      <c r="C18" s="204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3">
        <f t="shared" si="0"/>
        <v>0</v>
      </c>
      <c r="P18" s="35">
        <f t="shared" si="1"/>
        <v>0</v>
      </c>
      <c r="Q18" s="36">
        <f t="shared" si="1"/>
        <v>0</v>
      </c>
      <c r="R18" s="290" t="str">
        <f t="shared" si="2"/>
        <v> </v>
      </c>
      <c r="S18" s="665"/>
      <c r="T18" s="290"/>
      <c r="U18" s="676">
        <v>2</v>
      </c>
      <c r="V18" s="31">
        <v>2</v>
      </c>
      <c r="W18" s="629">
        <f>O17+O18</f>
        <v>0</v>
      </c>
      <c r="X18" s="629">
        <f>VLOOKUP(W18,$AA$15:$AC$27,3,TRUE)</f>
        <v>0</v>
      </c>
      <c r="Y18" s="629">
        <f>COUNTIF(C17:N17,"&gt;0")+COUNTIF(C18:N18,"&gt;0")</f>
        <v>0</v>
      </c>
      <c r="AA18" s="21">
        <v>61</v>
      </c>
      <c r="AB18" s="21">
        <v>90</v>
      </c>
      <c r="AC18" s="24">
        <v>3</v>
      </c>
    </row>
    <row r="19" spans="1:29" ht="12.75" customHeight="1">
      <c r="A19" s="201">
        <v>3</v>
      </c>
      <c r="B19" s="205"/>
      <c r="C19" s="204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3">
        <f t="shared" si="0"/>
        <v>0</v>
      </c>
      <c r="P19" s="35">
        <f t="shared" si="1"/>
        <v>0</v>
      </c>
      <c r="Q19" s="36">
        <f t="shared" si="1"/>
        <v>0</v>
      </c>
      <c r="R19" s="290" t="str">
        <f t="shared" si="2"/>
        <v> </v>
      </c>
      <c r="S19" s="665">
        <f>IF((COUNTIF(C19:N19,"&gt;0")+COUNTIF(C20:N20,"&gt;0"))&lt;&gt;X20,"NAPAKA 2","")</f>
      </c>
      <c r="T19" s="290"/>
      <c r="U19" s="676"/>
      <c r="V19" s="31" t="s">
        <v>235</v>
      </c>
      <c r="W19" s="629"/>
      <c r="X19" s="629"/>
      <c r="Y19" s="629"/>
      <c r="AA19" s="21">
        <v>91</v>
      </c>
      <c r="AB19" s="21">
        <v>120</v>
      </c>
      <c r="AC19" s="24">
        <v>4</v>
      </c>
    </row>
    <row r="20" spans="1:29" ht="12.75" customHeight="1">
      <c r="A20" s="11" t="s">
        <v>164</v>
      </c>
      <c r="B20" s="206" t="s">
        <v>201</v>
      </c>
      <c r="C20" s="204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3">
        <f t="shared" si="0"/>
        <v>0</v>
      </c>
      <c r="P20" s="35">
        <f t="shared" si="1"/>
        <v>0</v>
      </c>
      <c r="Q20" s="36">
        <f t="shared" si="1"/>
        <v>0</v>
      </c>
      <c r="R20" s="290" t="str">
        <f t="shared" si="2"/>
        <v> </v>
      </c>
      <c r="S20" s="665"/>
      <c r="T20" s="290"/>
      <c r="U20" s="676">
        <v>3</v>
      </c>
      <c r="V20" s="31">
        <v>3</v>
      </c>
      <c r="W20" s="629">
        <f>O19+O20</f>
        <v>0</v>
      </c>
      <c r="X20" s="629">
        <f>VLOOKUP(W20,$AA$15:$AC$27,3,TRUE)</f>
        <v>0</v>
      </c>
      <c r="Y20" s="629">
        <f>COUNTIF(C19:N19,"&gt;0")+COUNTIF(C20:N20,"&gt;0")</f>
        <v>0</v>
      </c>
      <c r="AA20" s="21">
        <v>121</v>
      </c>
      <c r="AB20" s="21">
        <v>150</v>
      </c>
      <c r="AC20" s="24">
        <v>5</v>
      </c>
    </row>
    <row r="21" spans="1:29" ht="12.75" customHeight="1">
      <c r="A21" s="201">
        <v>4</v>
      </c>
      <c r="B21" s="205"/>
      <c r="C21" s="204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3">
        <f t="shared" si="0"/>
        <v>0</v>
      </c>
      <c r="P21" s="35">
        <f t="shared" si="1"/>
        <v>0</v>
      </c>
      <c r="Q21" s="36">
        <f t="shared" si="1"/>
        <v>0</v>
      </c>
      <c r="R21" s="290" t="str">
        <f t="shared" si="2"/>
        <v> </v>
      </c>
      <c r="S21" s="665">
        <f>IF((COUNTIF(C21:N21,"&gt;0")+COUNTIF(C22:N22,"&gt;0")+COUNTIF(C33:N33,"&gt;0"))&lt;&gt;X22,"NAPAKA 2","")</f>
      </c>
      <c r="T21" s="290"/>
      <c r="U21" s="676"/>
      <c r="V21" s="31" t="s">
        <v>236</v>
      </c>
      <c r="W21" s="629"/>
      <c r="X21" s="629"/>
      <c r="Y21" s="629"/>
      <c r="AA21" s="21">
        <v>151</v>
      </c>
      <c r="AB21" s="21">
        <v>180</v>
      </c>
      <c r="AC21" s="24">
        <v>6</v>
      </c>
    </row>
    <row r="22" spans="1:29" ht="12.75" customHeight="1">
      <c r="A22" s="11" t="s">
        <v>164</v>
      </c>
      <c r="B22" s="206" t="s">
        <v>202</v>
      </c>
      <c r="C22" s="204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3">
        <f t="shared" si="0"/>
        <v>0</v>
      </c>
      <c r="P22" s="35">
        <f t="shared" si="1"/>
        <v>0</v>
      </c>
      <c r="Q22" s="36">
        <f t="shared" si="1"/>
        <v>0</v>
      </c>
      <c r="R22" s="290" t="str">
        <f t="shared" si="2"/>
        <v> </v>
      </c>
      <c r="S22" s="665"/>
      <c r="T22" s="290"/>
      <c r="U22" s="676">
        <v>4</v>
      </c>
      <c r="V22" s="31">
        <v>4</v>
      </c>
      <c r="W22" s="629">
        <f>O21+O22+O33</f>
        <v>0</v>
      </c>
      <c r="X22" s="629">
        <f>VLOOKUP(W22,$AA$15:$AC$27,3,TRUE)</f>
        <v>0</v>
      </c>
      <c r="Y22" s="629">
        <f>COUNTIF(C22:N22,"&gt;0")+COUNTIF(C21:N21,"&gt;0")+COUNTIF(C33:N33,"&gt;0")</f>
        <v>0</v>
      </c>
      <c r="AA22" s="21">
        <v>181</v>
      </c>
      <c r="AB22" s="21">
        <v>210</v>
      </c>
      <c r="AC22" s="24">
        <v>7</v>
      </c>
    </row>
    <row r="23" spans="1:29" ht="12.75" customHeight="1">
      <c r="A23" s="201">
        <v>5</v>
      </c>
      <c r="B23" s="205"/>
      <c r="C23" s="204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13">
        <f t="shared" si="0"/>
        <v>0</v>
      </c>
      <c r="P23" s="35">
        <f t="shared" si="1"/>
        <v>0</v>
      </c>
      <c r="Q23" s="36">
        <f t="shared" si="1"/>
        <v>0</v>
      </c>
      <c r="R23" s="290" t="str">
        <f t="shared" si="2"/>
        <v> </v>
      </c>
      <c r="S23" s="665">
        <f>IF((COUNTIF(C23:N23,"&gt;0")+COUNTIF(C24:N24,"&gt;0"))&lt;&gt;X25,"NAPAKA 2","")</f>
      </c>
      <c r="T23" s="290"/>
      <c r="U23" s="676"/>
      <c r="V23" s="31" t="s">
        <v>237</v>
      </c>
      <c r="W23" s="629"/>
      <c r="X23" s="629"/>
      <c r="Y23" s="629"/>
      <c r="AA23" s="21">
        <v>211</v>
      </c>
      <c r="AB23" s="21">
        <v>240</v>
      </c>
      <c r="AC23" s="24">
        <v>8</v>
      </c>
    </row>
    <row r="24" spans="1:29" ht="12.75" customHeight="1">
      <c r="A24" s="11" t="s">
        <v>164</v>
      </c>
      <c r="B24" s="206" t="s">
        <v>203</v>
      </c>
      <c r="C24" s="204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3">
        <f t="shared" si="0"/>
        <v>0</v>
      </c>
      <c r="P24" s="35">
        <f t="shared" si="1"/>
        <v>0</v>
      </c>
      <c r="Q24" s="36">
        <f t="shared" si="1"/>
        <v>0</v>
      </c>
      <c r="R24" s="290" t="str">
        <f t="shared" si="2"/>
        <v> </v>
      </c>
      <c r="S24" s="665"/>
      <c r="T24" s="290"/>
      <c r="U24" s="676"/>
      <c r="V24" s="31" t="s">
        <v>238</v>
      </c>
      <c r="W24" s="629"/>
      <c r="X24" s="629"/>
      <c r="Y24" s="629"/>
      <c r="AA24" s="21">
        <v>241</v>
      </c>
      <c r="AB24" s="21">
        <v>270</v>
      </c>
      <c r="AC24" s="24">
        <v>9</v>
      </c>
    </row>
    <row r="25" spans="1:29" ht="12.75" customHeight="1">
      <c r="A25" s="201">
        <v>6</v>
      </c>
      <c r="B25" s="205"/>
      <c r="C25" s="204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O25" s="13">
        <f t="shared" si="0"/>
        <v>0</v>
      </c>
      <c r="P25" s="35">
        <f t="shared" si="1"/>
        <v>0</v>
      </c>
      <c r="Q25" s="36">
        <f aca="true" t="shared" si="3" ref="Q25:Q31">IF(COUNTIF($C25:$N25,"&gt;0"),COUNTIF($C25:$N25,"&gt;0")*3,0)</f>
        <v>0</v>
      </c>
      <c r="R25" s="290" t="str">
        <f t="shared" si="2"/>
        <v> </v>
      </c>
      <c r="S25" s="665">
        <f>IF((COUNTIF(C25:N25,"&gt;0")+COUNTIF(C26:N26,"&gt;0"))&lt;&gt;X27,"NAPAKA 2","")</f>
      </c>
      <c r="T25" s="290"/>
      <c r="U25" s="676">
        <v>5</v>
      </c>
      <c r="V25" s="31">
        <v>5</v>
      </c>
      <c r="W25" s="629">
        <f>O23+O24</f>
        <v>0</v>
      </c>
      <c r="X25" s="629">
        <f>VLOOKUP(W25,$AA$15:$AC$27,3,TRUE)</f>
        <v>0</v>
      </c>
      <c r="Y25" s="629">
        <f>COUNTIF(C24:N24,"&gt;0")+COUNTIF(C23:N23,"&gt;0")</f>
        <v>0</v>
      </c>
      <c r="AA25" s="21">
        <v>271</v>
      </c>
      <c r="AB25" s="21">
        <v>300</v>
      </c>
      <c r="AC25" s="24">
        <v>10</v>
      </c>
    </row>
    <row r="26" spans="1:29" ht="12.75" customHeight="1">
      <c r="A26" s="11" t="s">
        <v>164</v>
      </c>
      <c r="B26" s="206" t="s">
        <v>204</v>
      </c>
      <c r="C26" s="204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3">
        <f t="shared" si="0"/>
        <v>0</v>
      </c>
      <c r="P26" s="35">
        <f t="shared" si="1"/>
        <v>0</v>
      </c>
      <c r="Q26" s="36">
        <f t="shared" si="3"/>
        <v>0</v>
      </c>
      <c r="R26" s="290" t="str">
        <f t="shared" si="2"/>
        <v> </v>
      </c>
      <c r="S26" s="665"/>
      <c r="T26" s="290"/>
      <c r="U26" s="676"/>
      <c r="V26" s="31" t="s">
        <v>239</v>
      </c>
      <c r="W26" s="629"/>
      <c r="X26" s="629"/>
      <c r="Y26" s="629"/>
      <c r="AA26" s="21">
        <v>301</v>
      </c>
      <c r="AB26" s="21">
        <v>330</v>
      </c>
      <c r="AC26" s="24">
        <v>11</v>
      </c>
    </row>
    <row r="27" spans="1:29" ht="12.75" customHeight="1">
      <c r="A27" s="201">
        <v>7</v>
      </c>
      <c r="B27" s="205"/>
      <c r="C27" s="204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  <c r="O27" s="13">
        <f t="shared" si="0"/>
        <v>0</v>
      </c>
      <c r="P27" s="35">
        <f t="shared" si="1"/>
        <v>0</v>
      </c>
      <c r="Q27" s="36">
        <f t="shared" si="3"/>
        <v>0</v>
      </c>
      <c r="R27" s="290" t="str">
        <f t="shared" si="2"/>
        <v> </v>
      </c>
      <c r="S27" s="665">
        <f>IF((COUNTIF(C27:N27,"&gt;0")+COUNTIF(C28:N28,"&gt;0")+COUNTIF(C34:N34,"&gt;0"))&lt;&gt;X29,"NAPAKA 2","")</f>
      </c>
      <c r="T27" s="290"/>
      <c r="U27" s="676">
        <v>6</v>
      </c>
      <c r="V27" s="31">
        <v>6</v>
      </c>
      <c r="W27" s="629">
        <f>O25+O26</f>
        <v>0</v>
      </c>
      <c r="X27" s="629">
        <f>VLOOKUP(W27,$AA$15:$AC$27,3,TRUE)</f>
        <v>0</v>
      </c>
      <c r="Y27" s="629">
        <f>COUNTIF(C26:N26,"&gt;0")+COUNTIF(C25:N25,"&gt;0")</f>
        <v>0</v>
      </c>
      <c r="AA27" s="21">
        <v>331</v>
      </c>
      <c r="AB27" s="21">
        <v>360</v>
      </c>
      <c r="AC27" s="24">
        <v>12</v>
      </c>
    </row>
    <row r="28" spans="1:25" ht="12.75" customHeight="1">
      <c r="A28" s="11" t="s">
        <v>164</v>
      </c>
      <c r="B28" s="206" t="s">
        <v>205</v>
      </c>
      <c r="C28" s="204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3">
        <f t="shared" si="0"/>
        <v>0</v>
      </c>
      <c r="P28" s="35">
        <f t="shared" si="1"/>
        <v>0</v>
      </c>
      <c r="Q28" s="36">
        <f t="shared" si="3"/>
        <v>0</v>
      </c>
      <c r="R28" s="290" t="str">
        <f t="shared" si="2"/>
        <v> </v>
      </c>
      <c r="S28" s="665"/>
      <c r="T28" s="290"/>
      <c r="U28" s="676"/>
      <c r="V28" s="31" t="s">
        <v>240</v>
      </c>
      <c r="W28" s="629"/>
      <c r="X28" s="629"/>
      <c r="Y28" s="629"/>
    </row>
    <row r="29" spans="1:25" ht="12.75" customHeight="1">
      <c r="A29" s="201">
        <v>8</v>
      </c>
      <c r="B29" s="205"/>
      <c r="C29" s="2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  <c r="O29" s="13">
        <f t="shared" si="0"/>
        <v>0</v>
      </c>
      <c r="P29" s="35">
        <f t="shared" si="1"/>
        <v>0</v>
      </c>
      <c r="Q29" s="36">
        <f t="shared" si="3"/>
        <v>0</v>
      </c>
      <c r="R29" s="290" t="str">
        <f t="shared" si="2"/>
        <v> </v>
      </c>
      <c r="S29" s="665">
        <f>IF((COUNTIF(C29:N29,"&gt;0")+COUNTIF(C30:N30,"&gt;0"))&lt;&gt;X32,"NAPAKA 2","")</f>
      </c>
      <c r="T29" s="290"/>
      <c r="U29" s="676">
        <v>7</v>
      </c>
      <c r="V29" s="31">
        <v>7</v>
      </c>
      <c r="W29" s="629">
        <f>+O27+O28+O34</f>
        <v>0</v>
      </c>
      <c r="X29" s="629">
        <f>VLOOKUP(W29,$AA$15:$AC$27,3,TRUE)</f>
        <v>0</v>
      </c>
      <c r="Y29" s="629">
        <f>COUNTIF(C27:N27,"&gt;0")+COUNTIF(C28:N28,"&gt;0")+COUNTIF(C34:N34,"&gt;0")</f>
        <v>0</v>
      </c>
    </row>
    <row r="30" spans="1:25" ht="12.75" customHeight="1">
      <c r="A30" s="11" t="s">
        <v>164</v>
      </c>
      <c r="B30" s="206" t="s">
        <v>206</v>
      </c>
      <c r="C30" s="204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  <c r="O30" s="13">
        <f t="shared" si="0"/>
        <v>0</v>
      </c>
      <c r="P30" s="35">
        <f t="shared" si="1"/>
        <v>0</v>
      </c>
      <c r="Q30" s="36">
        <f t="shared" si="3"/>
        <v>0</v>
      </c>
      <c r="R30" s="290" t="str">
        <f t="shared" si="2"/>
        <v> </v>
      </c>
      <c r="S30" s="665"/>
      <c r="T30" s="290"/>
      <c r="U30" s="676"/>
      <c r="V30" s="31" t="s">
        <v>241</v>
      </c>
      <c r="W30" s="629"/>
      <c r="X30" s="629"/>
      <c r="Y30" s="629"/>
    </row>
    <row r="31" spans="1:25" ht="12.75" customHeight="1">
      <c r="A31" s="207">
        <v>9</v>
      </c>
      <c r="B31" s="208"/>
      <c r="C31" s="209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4">
        <f t="shared" si="0"/>
        <v>0</v>
      </c>
      <c r="P31" s="37">
        <f t="shared" si="1"/>
        <v>0</v>
      </c>
      <c r="Q31" s="38">
        <f t="shared" si="3"/>
        <v>0</v>
      </c>
      <c r="R31" s="290" t="str">
        <f t="shared" si="2"/>
        <v> </v>
      </c>
      <c r="S31" s="290">
        <f>IF(COUNTIF(C31:N31,"&gt;0")&lt;&gt;X34,"NAPAKA 2","")</f>
      </c>
      <c r="T31" s="290"/>
      <c r="U31" s="676"/>
      <c r="V31" s="31" t="s">
        <v>242</v>
      </c>
      <c r="W31" s="629"/>
      <c r="X31" s="629"/>
      <c r="Y31" s="629"/>
    </row>
    <row r="32" spans="1:25" ht="12.75" customHeight="1">
      <c r="A32" s="11" t="s">
        <v>164</v>
      </c>
      <c r="B32" s="206" t="s">
        <v>207</v>
      </c>
      <c r="C32" s="20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2">
        <f t="shared" si="0"/>
        <v>0</v>
      </c>
      <c r="P32" s="37">
        <f t="shared" si="1"/>
        <v>0</v>
      </c>
      <c r="Q32" s="38">
        <f t="shared" si="1"/>
        <v>0</v>
      </c>
      <c r="R32" s="290" t="str">
        <f t="shared" si="2"/>
        <v> </v>
      </c>
      <c r="S32" s="290">
        <f>S15</f>
      </c>
      <c r="T32" s="290"/>
      <c r="U32" s="676">
        <v>8</v>
      </c>
      <c r="V32" s="31">
        <v>8</v>
      </c>
      <c r="W32" s="629">
        <f>+O29+O30</f>
        <v>0</v>
      </c>
      <c r="X32" s="629">
        <f>VLOOKUP(W32,$AA$15:$AC$27,3,TRUE)</f>
        <v>0</v>
      </c>
      <c r="Y32" s="629">
        <f>COUNTIF(C29:N29,"&gt;0")+COUNTIF(C30:N30,"&gt;0")</f>
        <v>0</v>
      </c>
    </row>
    <row r="33" spans="1:25" ht="12.75" customHeight="1">
      <c r="A33" s="11" t="s">
        <v>164</v>
      </c>
      <c r="B33" s="206" t="s">
        <v>208</v>
      </c>
      <c r="C33" s="20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2">
        <f t="shared" si="0"/>
        <v>0</v>
      </c>
      <c r="P33" s="37">
        <f t="shared" si="1"/>
        <v>0</v>
      </c>
      <c r="Q33" s="38">
        <f t="shared" si="1"/>
        <v>0</v>
      </c>
      <c r="R33" s="290" t="str">
        <f t="shared" si="2"/>
        <v> </v>
      </c>
      <c r="S33" s="290">
        <f>S21</f>
      </c>
      <c r="T33" s="290"/>
      <c r="U33" s="676"/>
      <c r="V33" s="31" t="s">
        <v>243</v>
      </c>
      <c r="W33" s="629"/>
      <c r="X33" s="629"/>
      <c r="Y33" s="629"/>
    </row>
    <row r="34" spans="1:25" ht="12.75" customHeight="1">
      <c r="A34" s="15" t="s">
        <v>164</v>
      </c>
      <c r="B34" s="218" t="s">
        <v>209</v>
      </c>
      <c r="C34" s="21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16">
        <f t="shared" si="0"/>
        <v>0</v>
      </c>
      <c r="P34" s="37">
        <f t="shared" si="1"/>
        <v>0</v>
      </c>
      <c r="Q34" s="38">
        <f>IF(COUNTIF($C34:$N34,"&gt;0"),COUNTIF($C34:$N34,"&gt;0")*3,0)</f>
        <v>0</v>
      </c>
      <c r="R34" s="290" t="str">
        <f t="shared" si="2"/>
        <v> </v>
      </c>
      <c r="S34" s="290">
        <f>S27</f>
      </c>
      <c r="T34" s="290"/>
      <c r="U34" s="289">
        <v>9</v>
      </c>
      <c r="V34" s="31">
        <v>9</v>
      </c>
      <c r="W34" s="288">
        <f>+O31</f>
        <v>0</v>
      </c>
      <c r="X34" s="288">
        <f>VLOOKUP(W34,$AA$15:$AC$27,3,TRUE)</f>
        <v>0</v>
      </c>
      <c r="Y34" s="288">
        <f>COUNTIF(C31:N31,"&gt;0")</f>
        <v>0</v>
      </c>
    </row>
    <row r="35" spans="1:25" ht="14.25" customHeight="1">
      <c r="A35" s="678" t="s">
        <v>162</v>
      </c>
      <c r="B35" s="679"/>
      <c r="C35" s="17">
        <f>'obrazec 4'!AI24</f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79">
        <f>SUM(O15:O34)</f>
        <v>0</v>
      </c>
      <c r="P35" s="39">
        <f>SUM(P15:P34)</f>
        <v>0</v>
      </c>
      <c r="Q35" s="40">
        <f>SUM(Q15:Q34)</f>
        <v>0</v>
      </c>
      <c r="U35" s="29"/>
      <c r="V35" s="27"/>
      <c r="W35" s="29">
        <f>SUM(W15:W34)</f>
        <v>0</v>
      </c>
      <c r="X35" s="29">
        <f>SUM(X15:X34)</f>
        <v>0</v>
      </c>
      <c r="Y35" s="29"/>
    </row>
    <row r="36" spans="1:15" ht="14.25">
      <c r="A36" s="32">
        <f>IF(AND(C35&lt;&gt;10,O35&lt;&gt;0),"OPOZORILO: Program na matični in podružničnih šolah ne zajema vseh razredov osnovne šole. PREVERITE !","")</f>
      </c>
      <c r="B36" s="214"/>
      <c r="C36" s="214"/>
      <c r="O36" s="291"/>
    </row>
    <row r="37" spans="1:20" ht="14.25">
      <c r="A37" s="22" t="str">
        <f>IF(OR(R15="NAPAKA 1",R16="NAPAKA 1",R17="NAPAKA 1",R18="NAPAKA 1",R19="NAPAKA 1",R20="NAPAKA 1",R21="NAPAKA 1",R22="NAPAKA 1",R23="NAPAKA 1",R24="NAPAKA 1",R25="NAPAKA 1",R26="NAPAKA 1",R27="NAPAKA 1",R28="NAPAKA 1",R29="NAPAKA 1",R30="NAPAKA 1",R31="NAPAKA 1",R32="NAPAKA 1",R33="NAPAKA 1",R34="NAPAKA 1"),"NAPAKA: V vrstici z oznako NAPAKA 1 je v eni izmed oblikovanih skupin premalo otrok. POPRAVITE !"," ")</f>
        <v> </v>
      </c>
      <c r="B37" s="192"/>
      <c r="C37" s="19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15" ht="14.25">
      <c r="A38" s="22" t="str">
        <f>IF(OR(S15="NAPAKA 2",S17="NAPAKA 2",S19="NAPAKA 2",S21="NAPAKA 2",S23="NAPAKA 2",S25="NAPAKA 2",S27="NAPAKA 2",S29="NAPAKA 2",S31="NAPAKA 2"),"NAPAKA: V vrsticah z oznako NAPAKA 2 je skupno število otrok premajhno (preveliko) za oblikovanje predvidenega števila skupin. Zamnjšajte (povečajte) število skupin. POPRAVITE !"," ")</f>
        <v> </v>
      </c>
      <c r="B38" s="214"/>
      <c r="C38" s="214"/>
      <c r="O38" s="291"/>
    </row>
    <row r="39" spans="1:15" ht="14.25">
      <c r="A39" s="192"/>
      <c r="B39" s="214"/>
      <c r="C39" s="214"/>
      <c r="O39" s="291"/>
    </row>
    <row r="40" spans="1:7" ht="14.25">
      <c r="A40" s="675" t="s">
        <v>245</v>
      </c>
      <c r="B40" s="675"/>
      <c r="C40" s="675"/>
      <c r="D40" s="675"/>
      <c r="E40" s="675"/>
      <c r="F40" s="675"/>
      <c r="G40" s="675"/>
    </row>
    <row r="41" spans="1:15" ht="14.25">
      <c r="A41" s="215" t="s">
        <v>165</v>
      </c>
      <c r="B41" s="215"/>
      <c r="C41" s="216">
        <v>0</v>
      </c>
      <c r="D41" s="24">
        <v>1</v>
      </c>
      <c r="E41" s="24">
        <v>2</v>
      </c>
      <c r="F41" s="24">
        <v>3</v>
      </c>
      <c r="G41" s="24">
        <v>4</v>
      </c>
      <c r="H41" s="24">
        <v>5</v>
      </c>
      <c r="I41" s="24">
        <v>6</v>
      </c>
      <c r="J41" s="24">
        <v>7</v>
      </c>
      <c r="K41" s="24">
        <v>8</v>
      </c>
      <c r="L41" s="24">
        <v>9</v>
      </c>
      <c r="M41" s="24">
        <v>10</v>
      </c>
      <c r="N41" s="24">
        <v>11</v>
      </c>
      <c r="O41" s="24">
        <v>12</v>
      </c>
    </row>
    <row r="42" ht="6" customHeight="1"/>
    <row r="43" spans="1:15" ht="14.25">
      <c r="A43" s="215" t="s">
        <v>166</v>
      </c>
      <c r="B43" s="215"/>
      <c r="C43" s="214">
        <v>0</v>
      </c>
      <c r="D43" s="21">
        <v>15</v>
      </c>
      <c r="E43" s="21">
        <v>31</v>
      </c>
      <c r="F43" s="21">
        <v>61</v>
      </c>
      <c r="G43" s="21">
        <v>91</v>
      </c>
      <c r="H43" s="21">
        <v>121</v>
      </c>
      <c r="I43" s="21">
        <v>151</v>
      </c>
      <c r="J43" s="21">
        <v>181</v>
      </c>
      <c r="K43" s="21">
        <v>211</v>
      </c>
      <c r="L43" s="21">
        <v>241</v>
      </c>
      <c r="M43" s="21">
        <v>271</v>
      </c>
      <c r="N43" s="21">
        <v>301</v>
      </c>
      <c r="O43" s="21">
        <v>331</v>
      </c>
    </row>
    <row r="44" spans="1:15" ht="3" customHeight="1">
      <c r="A44" s="215"/>
      <c r="B44" s="215"/>
      <c r="C44" s="21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ht="14.25">
      <c r="B45" s="213" t="s">
        <v>244</v>
      </c>
      <c r="C45" s="214">
        <v>14</v>
      </c>
      <c r="D45" s="21">
        <v>30</v>
      </c>
      <c r="E45" s="21">
        <v>60</v>
      </c>
      <c r="F45" s="21">
        <v>90</v>
      </c>
      <c r="G45" s="21">
        <v>120</v>
      </c>
      <c r="H45" s="21">
        <v>150</v>
      </c>
      <c r="I45" s="21">
        <v>180</v>
      </c>
      <c r="J45" s="21">
        <v>210</v>
      </c>
      <c r="K45" s="21">
        <v>240</v>
      </c>
      <c r="L45" s="21">
        <v>270</v>
      </c>
      <c r="M45" s="21">
        <v>300</v>
      </c>
      <c r="N45" s="21">
        <v>330</v>
      </c>
      <c r="O45" s="21">
        <v>360</v>
      </c>
    </row>
    <row r="46" spans="5:7" ht="4.5" customHeight="1">
      <c r="E46" s="25"/>
      <c r="F46" s="25"/>
      <c r="G46" s="25"/>
    </row>
    <row r="47" spans="1:19" ht="14.25">
      <c r="A47" s="675" t="s">
        <v>21</v>
      </c>
      <c r="B47" s="675"/>
      <c r="C47" s="675"/>
      <c r="D47" s="675"/>
      <c r="E47" s="675"/>
      <c r="F47" s="675" t="s">
        <v>264</v>
      </c>
      <c r="G47" s="675"/>
      <c r="H47" s="675"/>
      <c r="I47" s="675"/>
      <c r="K47" s="675" t="s">
        <v>344</v>
      </c>
      <c r="L47" s="675"/>
      <c r="M47" s="675"/>
      <c r="N47" s="675"/>
      <c r="P47" s="675" t="s">
        <v>265</v>
      </c>
      <c r="Q47" s="675"/>
      <c r="R47" s="675"/>
      <c r="S47" s="675"/>
    </row>
    <row r="48" spans="5:19" ht="14.25">
      <c r="E48" s="25"/>
      <c r="F48" s="674">
        <f>IF('obrazec 1'!F4="","",IF(AND('obrazec 1'!J47="",J4="",A4=""),"",'obrazec 1'!F12))</f>
      </c>
      <c r="G48" s="674"/>
      <c r="H48" s="674"/>
      <c r="I48" s="674"/>
      <c r="K48" s="674">
        <f>IF('obrazec 1'!F4="","",IF(AND('obrazec 1'!J47="",J4="",A4=""),"",'obrazec 1'!F4))</f>
      </c>
      <c r="L48" s="674"/>
      <c r="M48" s="674"/>
      <c r="N48" s="674"/>
      <c r="P48" s="674">
        <f>+IF('obrazec 1'!$F$3="DA",K53,K52)</f>
      </c>
      <c r="Q48" s="674"/>
      <c r="R48" s="674"/>
      <c r="S48" s="674"/>
    </row>
    <row r="49" spans="1:19" ht="14.25">
      <c r="A49" s="639">
        <f>IF('obrazec 1'!H71="","",IF(AND('obrazec 1'!J47="",J4="",A4=""),"",'obrazec 1'!H71))</f>
      </c>
      <c r="B49" s="639"/>
      <c r="C49" s="639"/>
      <c r="D49" s="639"/>
      <c r="E49" s="25"/>
      <c r="F49" s="677">
        <f>IF('obrazec 1'!F6="","",IF(AND('obrazec 1'!J47="",J4="",A4=""),"",'obrazec 1'!F14))</f>
      </c>
      <c r="G49" s="677"/>
      <c r="H49" s="677"/>
      <c r="I49" s="677"/>
      <c r="K49" s="677">
        <f>IF('obrazec 1'!F6="","",IF(AND('obrazec 1'!J47="",J4="",A4=""),"",'obrazec 1'!F6))</f>
      </c>
      <c r="L49" s="677"/>
      <c r="M49" s="677"/>
      <c r="N49" s="677"/>
      <c r="P49" s="639">
        <f>+IF('obrazec 1'!$F$3="DA",K56,K55)</f>
      </c>
      <c r="Q49" s="639"/>
      <c r="R49" s="639"/>
      <c r="S49" s="639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2:11" ht="14.25" hidden="1">
      <c r="B52" s="482"/>
      <c r="E52" s="25"/>
      <c r="F52" s="25"/>
      <c r="G52" s="25"/>
      <c r="K52" s="4">
        <f>IF(AND('obrazec 1'!$F$3="NE",'obrazec 1'!$J$47&lt;&gt;""),'obrazec 1'!$J$47,IF(AND('obrazec 1'!$F$3="NE",'obrazec 1'!$J$47=""),"",""))</f>
      </c>
    </row>
    <row r="53" spans="2:11" ht="14.25" hidden="1">
      <c r="B53" s="482"/>
      <c r="E53" s="25"/>
      <c r="F53" s="25"/>
      <c r="G53" s="25"/>
      <c r="K53" s="4">
        <f>IF(AND('obrazec 1'!$F$3="DA",'obrazec 1'!$F$47&lt;&gt;""),'obrazec 1'!$F$47,IF(AND('obrazec 1'!$F$3="DA",'obrazec 1'!$F$47="",$J$4&lt;&gt;""),'obrazec 1'!$F$4,IF(AND('obrazec 1'!$F$3="DA",'obrazec 1'!$F$47="",$J$4=""),"","")))</f>
      </c>
    </row>
    <row r="54" spans="2:7" ht="14.25" hidden="1">
      <c r="B54" s="481"/>
      <c r="E54" s="25"/>
      <c r="F54" s="25"/>
      <c r="G54" s="25"/>
    </row>
    <row r="55" spans="5:11" ht="14.25" hidden="1">
      <c r="E55" s="25"/>
      <c r="F55" s="25"/>
      <c r="G55" s="25"/>
      <c r="K55" s="4">
        <f>IF(AND('obrazec 1'!$F$3="NE",'obrazec 1'!$J$47&lt;&gt;""),'obrazec 1'!$J$49,IF(AND('obrazec 1'!$F$3="NE",'obrazec 1'!$J$47=""),"",""))</f>
      </c>
    </row>
    <row r="56" spans="2:11" ht="14.25" hidden="1">
      <c r="B56" s="481"/>
      <c r="K56" s="4">
        <f>IF(AND('obrazec 1'!$F$3="DA",'obrazec 1'!$F$47&lt;&gt;""),'obrazec 1'!$F$49,IF(AND('obrazec 1'!$F$3="DA",'obrazec 1'!$F$47="",$J$4&lt;&gt;""),'obrazec 1'!$F$6,IF(AND('obrazec 1'!$F$3="DA",'obrazec 1'!$F$47="",$J$4=""),"","")))</f>
      </c>
    </row>
    <row r="57" ht="14.25" hidden="1">
      <c r="B57" s="481"/>
    </row>
    <row r="58" ht="14.25" hidden="1">
      <c r="K58" s="4">
        <f>IF(AND('obrazec 1'!$F$3="NE",'obrazec 1'!$J$47&lt;&gt;""),'obrazec 1'!$J$47,IF(AND('obrazec 1'!$F$3="NE",'obrazec 1'!$J$47=""),"",""))</f>
      </c>
    </row>
    <row r="59" ht="14.25" hidden="1">
      <c r="K59" s="4">
        <f>IF(AND('obrazec 1'!$F$3="DA",'obrazec 1'!$F$47&lt;&gt;""),'obrazec 1'!$F$47,IF(AND('obrazec 1'!$F$3="DA",'obrazec 1'!$F$47="",$J$4&lt;&gt;""),"",IF(AND('obrazec 1'!$F$3="DA",'obrazec 1'!$F$47="",$J$4=""),"","")))</f>
      </c>
    </row>
  </sheetData>
  <sheetProtection password="C86A" sheet="1" objects="1" scenarios="1" selectLockedCells="1"/>
  <mergeCells count="60">
    <mergeCell ref="S17:S18"/>
    <mergeCell ref="S19:S20"/>
    <mergeCell ref="U20:U21"/>
    <mergeCell ref="A2:Q2"/>
    <mergeCell ref="A13:B14"/>
    <mergeCell ref="C13:N13"/>
    <mergeCell ref="O13:O14"/>
    <mergeCell ref="S15:S16"/>
    <mergeCell ref="A5:Q5"/>
    <mergeCell ref="A4:I4"/>
    <mergeCell ref="J4:Q4"/>
    <mergeCell ref="Y20:Y21"/>
    <mergeCell ref="U22:U24"/>
    <mergeCell ref="W22:W24"/>
    <mergeCell ref="X22:X24"/>
    <mergeCell ref="Y22:Y24"/>
    <mergeCell ref="Y15:Y17"/>
    <mergeCell ref="U18:U19"/>
    <mergeCell ref="W18:W19"/>
    <mergeCell ref="X18:X19"/>
    <mergeCell ref="Y18:Y19"/>
    <mergeCell ref="U15:U17"/>
    <mergeCell ref="W20:W21"/>
    <mergeCell ref="S27:S28"/>
    <mergeCell ref="U27:U28"/>
    <mergeCell ref="W27:W28"/>
    <mergeCell ref="X27:X28"/>
    <mergeCell ref="W15:W17"/>
    <mergeCell ref="X15:X17"/>
    <mergeCell ref="S23:S24"/>
    <mergeCell ref="S21:S22"/>
    <mergeCell ref="Y27:Y28"/>
    <mergeCell ref="S25:S26"/>
    <mergeCell ref="U25:U26"/>
    <mergeCell ref="W25:W26"/>
    <mergeCell ref="X25:X26"/>
    <mergeCell ref="Y25:Y26"/>
    <mergeCell ref="X20:X21"/>
    <mergeCell ref="Y29:Y31"/>
    <mergeCell ref="U32:U33"/>
    <mergeCell ref="W32:W33"/>
    <mergeCell ref="X32:X33"/>
    <mergeCell ref="Y32:Y33"/>
    <mergeCell ref="U29:U31"/>
    <mergeCell ref="P47:S47"/>
    <mergeCell ref="K48:N48"/>
    <mergeCell ref="P48:S48"/>
    <mergeCell ref="F48:I48"/>
    <mergeCell ref="W29:W31"/>
    <mergeCell ref="X29:X31"/>
    <mergeCell ref="P49:S49"/>
    <mergeCell ref="A49:D49"/>
    <mergeCell ref="F49:I49"/>
    <mergeCell ref="K49:N49"/>
    <mergeCell ref="S29:S30"/>
    <mergeCell ref="A35:B35"/>
    <mergeCell ref="A40:G40"/>
    <mergeCell ref="A47:E47"/>
    <mergeCell ref="F47:I47"/>
    <mergeCell ref="K47:N47"/>
  </mergeCells>
  <printOptions/>
  <pageMargins left="0.7874015748031497" right="0.7874015748031497" top="0.31496062992125984" bottom="0.31496062992125984" header="0.31496062992125984" footer="0.31496062992125984"/>
  <pageSetup horizontalDpi="600" verticalDpi="600" orientation="landscape" paperSize="9" scale="88" r:id="rId1"/>
  <headerFooter>
    <oddFooter>&amp;R&amp;K00-024&amp;A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I47"/>
  <sheetViews>
    <sheetView showGridLines="0" zoomScalePageLayoutView="0" workbookViewId="0" topLeftCell="A1">
      <selection activeCell="D28" sqref="D28"/>
    </sheetView>
  </sheetViews>
  <sheetFormatPr defaultColWidth="9.140625" defaultRowHeight="15"/>
  <cols>
    <col min="1" max="2" width="4.421875" style="217" customWidth="1"/>
    <col min="3" max="3" width="6.140625" style="217" hidden="1" customWidth="1"/>
    <col min="4" max="4" width="7.28125" style="118" customWidth="1"/>
    <col min="5" max="15" width="7.28125" style="4" customWidth="1"/>
    <col min="16" max="16" width="9.28125" style="4" customWidth="1"/>
    <col min="17" max="18" width="7.7109375" style="4" customWidth="1"/>
    <col min="19" max="19" width="2.7109375" style="4" customWidth="1"/>
    <col min="20" max="20" width="5.7109375" style="4" customWidth="1"/>
    <col min="21" max="21" width="4.7109375" style="4" customWidth="1"/>
    <col min="22" max="22" width="1.7109375" style="4" hidden="1" customWidth="1"/>
    <col min="23" max="23" width="4.00390625" style="4" hidden="1" customWidth="1"/>
    <col min="24" max="26" width="4.7109375" style="4" hidden="1" customWidth="1"/>
    <col min="27" max="27" width="3.7109375" style="4" hidden="1" customWidth="1"/>
    <col min="28" max="30" width="1.7109375" style="4" hidden="1" customWidth="1"/>
    <col min="31" max="31" width="3.7109375" style="4" hidden="1" customWidth="1"/>
    <col min="32" max="32" width="5.8515625" style="4" hidden="1" customWidth="1"/>
    <col min="33" max="33" width="4.7109375" style="4" hidden="1" customWidth="1"/>
    <col min="34" max="34" width="5.8515625" style="4" customWidth="1"/>
    <col min="35" max="35" width="4.7109375" style="4" customWidth="1"/>
    <col min="36" max="16384" width="8.8515625" style="4" customWidth="1"/>
  </cols>
  <sheetData>
    <row r="1" ht="4.5" customHeight="1"/>
    <row r="2" spans="1:18" ht="15" customHeight="1">
      <c r="A2" s="662">
        <f>IF('obrazec 1'!F4="","",IF(COUNT($D$12:$O$31)=0,"",'obrazec 1'!F4))</f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</row>
    <row r="3" ht="4.5" customHeight="1"/>
    <row r="4" ht="14.25">
      <c r="A4" s="23" t="s">
        <v>285</v>
      </c>
    </row>
    <row r="5" ht="14.25">
      <c r="A5" s="235" t="s">
        <v>286</v>
      </c>
    </row>
    <row r="6" ht="14.25">
      <c r="A6" s="23" t="s">
        <v>287</v>
      </c>
    </row>
    <row r="7" ht="14.25">
      <c r="A7" s="23" t="s">
        <v>283</v>
      </c>
    </row>
    <row r="8" ht="14.25">
      <c r="A8" s="23" t="s">
        <v>249</v>
      </c>
    </row>
    <row r="9" spans="32:35" ht="14.25">
      <c r="AF9"/>
      <c r="AG9"/>
      <c r="AH9"/>
      <c r="AI9"/>
    </row>
    <row r="10" spans="1:35" ht="14.25">
      <c r="A10" s="666" t="s">
        <v>161</v>
      </c>
      <c r="B10" s="667"/>
      <c r="C10" s="194">
        <v>9</v>
      </c>
      <c r="D10" s="670" t="s">
        <v>284</v>
      </c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2"/>
      <c r="P10" s="663" t="s">
        <v>162</v>
      </c>
      <c r="Q10" s="1" t="s">
        <v>246</v>
      </c>
      <c r="R10" s="2" t="s">
        <v>248</v>
      </c>
      <c r="S10" s="184"/>
      <c r="T10" s="184"/>
      <c r="U10" s="184"/>
      <c r="AF10"/>
      <c r="AG10"/>
      <c r="AH10"/>
      <c r="AI10"/>
    </row>
    <row r="11" spans="1:35" ht="14.25">
      <c r="A11" s="668"/>
      <c r="B11" s="669"/>
      <c r="C11" s="195"/>
      <c r="D11" s="196" t="s">
        <v>189</v>
      </c>
      <c r="E11" s="5" t="s">
        <v>190</v>
      </c>
      <c r="F11" s="5" t="s">
        <v>191</v>
      </c>
      <c r="G11" s="5" t="s">
        <v>192</v>
      </c>
      <c r="H11" s="5" t="s">
        <v>193</v>
      </c>
      <c r="I11" s="5" t="s">
        <v>194</v>
      </c>
      <c r="J11" s="5" t="s">
        <v>195</v>
      </c>
      <c r="K11" s="5" t="s">
        <v>196</v>
      </c>
      <c r="L11" s="5" t="s">
        <v>163</v>
      </c>
      <c r="M11" s="5" t="s">
        <v>197</v>
      </c>
      <c r="N11" s="5" t="s">
        <v>164</v>
      </c>
      <c r="O11" s="6" t="s">
        <v>198</v>
      </c>
      <c r="P11" s="664"/>
      <c r="Q11" s="7" t="s">
        <v>247</v>
      </c>
      <c r="R11" s="8" t="s">
        <v>247</v>
      </c>
      <c r="AF11"/>
      <c r="AG11"/>
      <c r="AH11"/>
      <c r="AI11"/>
    </row>
    <row r="12" spans="1:35" ht="12.75" customHeight="1">
      <c r="A12" s="197">
        <v>1</v>
      </c>
      <c r="B12" s="505" t="s">
        <v>164</v>
      </c>
      <c r="C12" s="199" t="str">
        <f>IF(AND(B12="K",D12&lt;&gt;0),1," ")</f>
        <v> </v>
      </c>
      <c r="D12" s="200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9">
        <f>SUM(D12:O12)</f>
        <v>0</v>
      </c>
      <c r="Q12" s="33">
        <f>IF(COUNTIF($D12:$O12,"&gt;0"),COUNTIF($D12:$O12,"&gt;0")*2,0)</f>
        <v>0</v>
      </c>
      <c r="R12" s="34">
        <f>IF(COUNTIF($D12:$O12,"&gt;0"),COUNTIF($D12:$O12,"&gt;0")*2,0)</f>
        <v>0</v>
      </c>
      <c r="S12" s="180"/>
      <c r="T12" s="220"/>
      <c r="U12" s="180"/>
      <c r="V12" s="676">
        <v>1</v>
      </c>
      <c r="W12" s="31">
        <v>1</v>
      </c>
      <c r="X12" s="629">
        <f>P12+P13+P29</f>
        <v>0</v>
      </c>
      <c r="Y12" s="629"/>
      <c r="Z12" s="629">
        <f>COUNTIF(D12:O12,"&gt;0")+COUNTIF(D13:O13,"&gt;0")+COUNTIF(D29:O29,"&gt;0")</f>
        <v>0</v>
      </c>
      <c r="AB12" s="495">
        <v>1</v>
      </c>
      <c r="AC12" s="491"/>
      <c r="AD12" s="492"/>
      <c r="AE12" s="501">
        <f>IF(C12&lt;&gt;" ",1,0)</f>
        <v>0</v>
      </c>
      <c r="AF12" s="684">
        <f>IF(OR(AE12=1,AE13=1,AE14=1),1,0)</f>
        <v>0</v>
      </c>
      <c r="AG12"/>
      <c r="AH12"/>
      <c r="AI12"/>
    </row>
    <row r="13" spans="1:35" ht="12.75" customHeight="1">
      <c r="A13" s="11" t="s">
        <v>164</v>
      </c>
      <c r="B13" s="202" t="s">
        <v>199</v>
      </c>
      <c r="C13" s="203" t="str">
        <f aca="true" t="shared" si="0" ref="C13:C27">IF(AND(A13="K",D13&lt;&gt;0),1," ")</f>
        <v> </v>
      </c>
      <c r="D13" s="204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P13" s="13">
        <f aca="true" t="shared" si="1" ref="P13:P31">SUM(D13:O13)</f>
        <v>0</v>
      </c>
      <c r="Q13" s="35">
        <f aca="true" t="shared" si="2" ref="Q13:Q31">IF(COUNTIF($D13:$O13,"&gt;0"),COUNTIF($D13:$O13,"&gt;0")*2,0)</f>
        <v>0</v>
      </c>
      <c r="R13" s="36">
        <f aca="true" t="shared" si="3" ref="R13:R30">IF(COUNTIF($D13:$O13,"&gt;0"),COUNTIF($D13:$O13,"&gt;0")*2,0)</f>
        <v>0</v>
      </c>
      <c r="S13" s="180"/>
      <c r="T13" s="220"/>
      <c r="U13" s="180"/>
      <c r="V13" s="676"/>
      <c r="W13" s="31" t="s">
        <v>233</v>
      </c>
      <c r="X13" s="629"/>
      <c r="Y13" s="629"/>
      <c r="Z13" s="629"/>
      <c r="AB13" s="495">
        <v>1</v>
      </c>
      <c r="AC13" s="498">
        <v>2</v>
      </c>
      <c r="AD13" s="498"/>
      <c r="AE13" s="501">
        <f>IF(C13&lt;&gt;" ",1,0)</f>
        <v>0</v>
      </c>
      <c r="AF13" s="684"/>
      <c r="AG13"/>
      <c r="AH13"/>
      <c r="AI13"/>
    </row>
    <row r="14" spans="1:35" ht="12.75" customHeight="1">
      <c r="A14" s="201">
        <v>2</v>
      </c>
      <c r="B14" s="506" t="s">
        <v>164</v>
      </c>
      <c r="C14" s="203" t="str">
        <f>IF(AND(B14="K",D14&lt;&gt;0),1," ")</f>
        <v> </v>
      </c>
      <c r="D14" s="204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13">
        <f t="shared" si="1"/>
        <v>0</v>
      </c>
      <c r="Q14" s="35">
        <f t="shared" si="2"/>
        <v>0</v>
      </c>
      <c r="R14" s="36">
        <f t="shared" si="3"/>
        <v>0</v>
      </c>
      <c r="S14" s="180"/>
      <c r="T14" s="220"/>
      <c r="U14" s="180"/>
      <c r="V14" s="676"/>
      <c r="W14" s="31" t="s">
        <v>234</v>
      </c>
      <c r="X14" s="629"/>
      <c r="Y14" s="629"/>
      <c r="Z14" s="629"/>
      <c r="AB14" s="496">
        <v>1</v>
      </c>
      <c r="AC14" s="499">
        <v>2</v>
      </c>
      <c r="AD14" s="499">
        <v>3</v>
      </c>
      <c r="AE14" s="502">
        <f>IF(C29&lt;&gt;" ",1,0)</f>
        <v>0</v>
      </c>
      <c r="AF14" s="685"/>
      <c r="AG14"/>
      <c r="AH14"/>
      <c r="AI14"/>
    </row>
    <row r="15" spans="1:35" ht="12.75" customHeight="1">
      <c r="A15" s="11" t="s">
        <v>164</v>
      </c>
      <c r="B15" s="202" t="s">
        <v>200</v>
      </c>
      <c r="C15" s="203" t="str">
        <f t="shared" si="0"/>
        <v> </v>
      </c>
      <c r="D15" s="204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  <c r="P15" s="13">
        <f t="shared" si="1"/>
        <v>0</v>
      </c>
      <c r="Q15" s="35">
        <f t="shared" si="2"/>
        <v>0</v>
      </c>
      <c r="R15" s="36">
        <f t="shared" si="3"/>
        <v>0</v>
      </c>
      <c r="S15" s="180"/>
      <c r="T15" s="220"/>
      <c r="U15" s="180"/>
      <c r="V15" s="676">
        <v>2</v>
      </c>
      <c r="W15" s="31">
        <v>2</v>
      </c>
      <c r="X15" s="629">
        <f>P14+P15</f>
        <v>0</v>
      </c>
      <c r="Y15" s="629"/>
      <c r="Z15" s="629">
        <f>COUNTIF(D14:O14,"&gt;0")+COUNTIF(D15:O15,"&gt;0")</f>
        <v>0</v>
      </c>
      <c r="AB15" s="497">
        <v>2</v>
      </c>
      <c r="AC15" s="500"/>
      <c r="AD15" s="500"/>
      <c r="AE15" s="503">
        <f>IF(C14&lt;&gt;" ",1,0)</f>
        <v>0</v>
      </c>
      <c r="AF15" s="683">
        <f>IF(OR(AE15=1,AE16=1,AE17=1,AE18=1),1,0)</f>
        <v>0</v>
      </c>
      <c r="AG15"/>
      <c r="AH15"/>
      <c r="AI15"/>
    </row>
    <row r="16" spans="1:35" ht="12.75" customHeight="1">
      <c r="A16" s="201">
        <v>3</v>
      </c>
      <c r="B16" s="506" t="s">
        <v>164</v>
      </c>
      <c r="C16" s="203" t="str">
        <f>IF(AND(B16="K",D16&lt;&gt;0),1," ")</f>
        <v> </v>
      </c>
      <c r="D16" s="204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13">
        <f t="shared" si="1"/>
        <v>0</v>
      </c>
      <c r="Q16" s="35">
        <f t="shared" si="2"/>
        <v>0</v>
      </c>
      <c r="R16" s="36">
        <f t="shared" si="3"/>
        <v>0</v>
      </c>
      <c r="S16" s="180"/>
      <c r="T16" s="220"/>
      <c r="U16" s="180"/>
      <c r="V16" s="676"/>
      <c r="W16" s="31" t="s">
        <v>235</v>
      </c>
      <c r="X16" s="629"/>
      <c r="Y16" s="629"/>
      <c r="Z16" s="629"/>
      <c r="AB16" s="495">
        <v>2</v>
      </c>
      <c r="AC16" s="498">
        <v>1</v>
      </c>
      <c r="AD16" s="498"/>
      <c r="AE16" s="501">
        <f>IF(C13&lt;&gt;" ",1,0)</f>
        <v>0</v>
      </c>
      <c r="AF16" s="684"/>
      <c r="AG16"/>
      <c r="AH16"/>
      <c r="AI16"/>
    </row>
    <row r="17" spans="1:35" ht="12.75" customHeight="1">
      <c r="A17" s="11" t="s">
        <v>164</v>
      </c>
      <c r="B17" s="206" t="s">
        <v>201</v>
      </c>
      <c r="C17" s="203" t="str">
        <f t="shared" si="0"/>
        <v> </v>
      </c>
      <c r="D17" s="204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13">
        <f t="shared" si="1"/>
        <v>0</v>
      </c>
      <c r="Q17" s="35">
        <f t="shared" si="2"/>
        <v>0</v>
      </c>
      <c r="R17" s="36">
        <f t="shared" si="3"/>
        <v>0</v>
      </c>
      <c r="S17" s="180"/>
      <c r="T17" s="220"/>
      <c r="U17" s="180"/>
      <c r="V17" s="676">
        <v>3</v>
      </c>
      <c r="W17" s="31">
        <v>3</v>
      </c>
      <c r="X17" s="629">
        <f>P16+P17</f>
        <v>0</v>
      </c>
      <c r="Y17" s="629"/>
      <c r="Z17" s="629">
        <f>COUNTIF(D16:O16,"&gt;0")+COUNTIF(D17:O17,"&gt;0")</f>
        <v>0</v>
      </c>
      <c r="AB17" s="495">
        <v>2</v>
      </c>
      <c r="AC17" s="498">
        <v>3</v>
      </c>
      <c r="AD17" s="498"/>
      <c r="AE17" s="501">
        <f>IF(C15&lt;&gt;" ",1,0)</f>
        <v>0</v>
      </c>
      <c r="AF17" s="684"/>
      <c r="AG17"/>
      <c r="AH17"/>
      <c r="AI17"/>
    </row>
    <row r="18" spans="1:35" ht="12.75" customHeight="1">
      <c r="A18" s="201">
        <v>4</v>
      </c>
      <c r="B18" s="506" t="s">
        <v>164</v>
      </c>
      <c r="C18" s="203" t="str">
        <f>IF(AND(B18="K",D18&lt;&gt;0),1," ")</f>
        <v> </v>
      </c>
      <c r="D18" s="204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3">
        <f t="shared" si="1"/>
        <v>0</v>
      </c>
      <c r="Q18" s="35">
        <f t="shared" si="2"/>
        <v>0</v>
      </c>
      <c r="R18" s="36">
        <f t="shared" si="3"/>
        <v>0</v>
      </c>
      <c r="S18" s="180"/>
      <c r="T18" s="220"/>
      <c r="U18" s="180"/>
      <c r="V18" s="676"/>
      <c r="W18" s="31" t="s">
        <v>236</v>
      </c>
      <c r="X18" s="629"/>
      <c r="Y18" s="629"/>
      <c r="Z18" s="629"/>
      <c r="AB18" s="496">
        <v>2</v>
      </c>
      <c r="AC18" s="499">
        <v>3</v>
      </c>
      <c r="AD18" s="499">
        <v>1</v>
      </c>
      <c r="AE18" s="502">
        <f>IF(C29&lt;&gt;" ",1,0)</f>
        <v>0</v>
      </c>
      <c r="AF18" s="685"/>
      <c r="AG18"/>
      <c r="AH18"/>
      <c r="AI18"/>
    </row>
    <row r="19" spans="1:35" ht="12.75" customHeight="1">
      <c r="A19" s="11" t="s">
        <v>164</v>
      </c>
      <c r="B19" s="206" t="s">
        <v>202</v>
      </c>
      <c r="C19" s="203" t="str">
        <f t="shared" si="0"/>
        <v> </v>
      </c>
      <c r="D19" s="20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13">
        <f t="shared" si="1"/>
        <v>0</v>
      </c>
      <c r="Q19" s="35">
        <f t="shared" si="2"/>
        <v>0</v>
      </c>
      <c r="R19" s="36">
        <f t="shared" si="3"/>
        <v>0</v>
      </c>
      <c r="S19" s="180"/>
      <c r="T19" s="220"/>
      <c r="U19" s="180"/>
      <c r="V19" s="676">
        <v>4</v>
      </c>
      <c r="W19" s="31">
        <v>4</v>
      </c>
      <c r="X19" s="629">
        <f>P18+P19+P30</f>
        <v>0</v>
      </c>
      <c r="Y19" s="629"/>
      <c r="Z19" s="629">
        <f>COUNTIF(D19:O19,"&gt;0")+COUNTIF(D18:O18,"&gt;0")+COUNTIF(D30:O30,"&gt;0")</f>
        <v>0</v>
      </c>
      <c r="AB19" s="497">
        <v>3</v>
      </c>
      <c r="AC19" s="500"/>
      <c r="AD19" s="500"/>
      <c r="AE19" s="503">
        <f>IF(C16&lt;&gt;" ",1,0)</f>
        <v>0</v>
      </c>
      <c r="AF19" s="683">
        <f>IF(OR(AE19=1,AE20=1,AE21=1,AE22=1),1,0)</f>
        <v>0</v>
      </c>
      <c r="AG19"/>
      <c r="AH19"/>
      <c r="AI19"/>
    </row>
    <row r="20" spans="1:35" ht="12.75" customHeight="1">
      <c r="A20" s="201">
        <v>5</v>
      </c>
      <c r="B20" s="506" t="s">
        <v>164</v>
      </c>
      <c r="C20" s="203" t="str">
        <f>IF(AND(B20="K",D20&lt;&gt;0),1," ")</f>
        <v> </v>
      </c>
      <c r="D20" s="204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13">
        <f t="shared" si="1"/>
        <v>0</v>
      </c>
      <c r="Q20" s="35">
        <f t="shared" si="2"/>
        <v>0</v>
      </c>
      <c r="R20" s="36">
        <f t="shared" si="3"/>
        <v>0</v>
      </c>
      <c r="S20" s="180"/>
      <c r="T20" s="220"/>
      <c r="U20" s="180"/>
      <c r="V20" s="676"/>
      <c r="W20" s="31" t="s">
        <v>237</v>
      </c>
      <c r="X20" s="629"/>
      <c r="Y20" s="629"/>
      <c r="Z20" s="629"/>
      <c r="AB20" s="495">
        <v>3</v>
      </c>
      <c r="AC20" s="498">
        <v>2</v>
      </c>
      <c r="AD20" s="498"/>
      <c r="AE20" s="501">
        <f>IF(C15&lt;&gt;" ",1,0)</f>
        <v>0</v>
      </c>
      <c r="AF20" s="684"/>
      <c r="AG20"/>
      <c r="AH20"/>
      <c r="AI20"/>
    </row>
    <row r="21" spans="1:35" ht="12.75" customHeight="1">
      <c r="A21" s="11" t="s">
        <v>164</v>
      </c>
      <c r="B21" s="206" t="s">
        <v>203</v>
      </c>
      <c r="C21" s="203" t="str">
        <f t="shared" si="0"/>
        <v> </v>
      </c>
      <c r="D21" s="204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13">
        <f t="shared" si="1"/>
        <v>0</v>
      </c>
      <c r="Q21" s="35">
        <f t="shared" si="2"/>
        <v>0</v>
      </c>
      <c r="R21" s="36">
        <f t="shared" si="3"/>
        <v>0</v>
      </c>
      <c r="S21" s="180"/>
      <c r="T21" s="220"/>
      <c r="U21" s="180"/>
      <c r="V21" s="676"/>
      <c r="W21" s="31" t="s">
        <v>238</v>
      </c>
      <c r="X21" s="629"/>
      <c r="Y21" s="629"/>
      <c r="Z21" s="629"/>
      <c r="AB21" s="495">
        <v>3</v>
      </c>
      <c r="AC21" s="498">
        <v>4</v>
      </c>
      <c r="AD21" s="498"/>
      <c r="AE21" s="501">
        <f>IF(C17&lt;&gt;" ",1,0)</f>
        <v>0</v>
      </c>
      <c r="AF21" s="684"/>
      <c r="AG21"/>
      <c r="AH21"/>
      <c r="AI21"/>
    </row>
    <row r="22" spans="1:35" ht="12.75" customHeight="1">
      <c r="A22" s="201">
        <v>6</v>
      </c>
      <c r="B22" s="506" t="s">
        <v>164</v>
      </c>
      <c r="C22" s="203" t="str">
        <f>IF(AND(B22="K",D22&lt;&gt;0),1," ")</f>
        <v> </v>
      </c>
      <c r="D22" s="204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3">
        <f t="shared" si="1"/>
        <v>0</v>
      </c>
      <c r="Q22" s="35">
        <f t="shared" si="2"/>
        <v>0</v>
      </c>
      <c r="R22" s="36">
        <f aca="true" t="shared" si="4" ref="R22:R28">IF(COUNTIF($D22:$O22,"&gt;0"),COUNTIF($D22:$O22,"&gt;0")*3,0)</f>
        <v>0</v>
      </c>
      <c r="S22" s="180"/>
      <c r="T22" s="220"/>
      <c r="U22" s="180"/>
      <c r="V22" s="676">
        <v>5</v>
      </c>
      <c r="W22" s="31">
        <v>5</v>
      </c>
      <c r="X22" s="629">
        <f>P20+P21</f>
        <v>0</v>
      </c>
      <c r="Y22" s="629"/>
      <c r="Z22" s="629">
        <f>COUNTIF(D21:O21,"&gt;0")+COUNTIF(D20:O20,"&gt;0")</f>
        <v>0</v>
      </c>
      <c r="AB22" s="496">
        <v>3</v>
      </c>
      <c r="AC22" s="499">
        <v>2</v>
      </c>
      <c r="AD22" s="499">
        <v>1</v>
      </c>
      <c r="AE22" s="502">
        <f>IF(C29&lt;&gt;" ",1,0)</f>
        <v>0</v>
      </c>
      <c r="AF22" s="685"/>
      <c r="AG22"/>
      <c r="AH22"/>
      <c r="AI22"/>
    </row>
    <row r="23" spans="1:35" ht="12.75" customHeight="1">
      <c r="A23" s="11" t="s">
        <v>164</v>
      </c>
      <c r="B23" s="206" t="s">
        <v>204</v>
      </c>
      <c r="C23" s="203" t="str">
        <f t="shared" si="0"/>
        <v> </v>
      </c>
      <c r="D23" s="204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13">
        <f t="shared" si="1"/>
        <v>0</v>
      </c>
      <c r="Q23" s="35">
        <f t="shared" si="2"/>
        <v>0</v>
      </c>
      <c r="R23" s="36">
        <f t="shared" si="4"/>
        <v>0</v>
      </c>
      <c r="S23" s="180"/>
      <c r="T23" s="220"/>
      <c r="U23" s="180"/>
      <c r="V23" s="676"/>
      <c r="W23" s="31" t="s">
        <v>239</v>
      </c>
      <c r="X23" s="629"/>
      <c r="Y23" s="629"/>
      <c r="Z23" s="629"/>
      <c r="AB23" s="497">
        <v>4</v>
      </c>
      <c r="AC23" s="500"/>
      <c r="AD23" s="500"/>
      <c r="AE23" s="503">
        <f>IF(C18&lt;&gt;" ",1,0)</f>
        <v>0</v>
      </c>
      <c r="AF23" s="683">
        <f>IF(OR(AE23=1,AE24=1,AE25=1,AE26=1),1,0)</f>
        <v>0</v>
      </c>
      <c r="AG23"/>
      <c r="AH23"/>
      <c r="AI23"/>
    </row>
    <row r="24" spans="1:35" ht="12.75" customHeight="1">
      <c r="A24" s="201">
        <v>7</v>
      </c>
      <c r="B24" s="506" t="s">
        <v>164</v>
      </c>
      <c r="C24" s="203" t="str">
        <f>IF(AND(B24="K",D24&lt;&gt;0),1," ")</f>
        <v> </v>
      </c>
      <c r="D24" s="204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3">
        <f t="shared" si="1"/>
        <v>0</v>
      </c>
      <c r="Q24" s="35">
        <f t="shared" si="2"/>
        <v>0</v>
      </c>
      <c r="R24" s="36">
        <f t="shared" si="4"/>
        <v>0</v>
      </c>
      <c r="S24" s="180"/>
      <c r="T24" s="220"/>
      <c r="U24" s="180"/>
      <c r="V24" s="676">
        <v>6</v>
      </c>
      <c r="W24" s="31">
        <v>6</v>
      </c>
      <c r="X24" s="629">
        <f>P22+P23</f>
        <v>0</v>
      </c>
      <c r="Y24" s="629"/>
      <c r="Z24" s="629">
        <f>COUNTIF(D23:O23,"&gt;0")+COUNTIF(D22:O22,"&gt;0")</f>
        <v>0</v>
      </c>
      <c r="AB24" s="495">
        <v>4</v>
      </c>
      <c r="AC24" s="498">
        <v>3</v>
      </c>
      <c r="AD24" s="498"/>
      <c r="AE24" s="501">
        <f>IF(C17&lt;&gt;" ",1,0)</f>
        <v>0</v>
      </c>
      <c r="AF24" s="684"/>
      <c r="AG24"/>
      <c r="AH24"/>
      <c r="AI24"/>
    </row>
    <row r="25" spans="1:35" ht="12.75" customHeight="1">
      <c r="A25" s="11" t="s">
        <v>164</v>
      </c>
      <c r="B25" s="206" t="s">
        <v>205</v>
      </c>
      <c r="C25" s="203" t="str">
        <f t="shared" si="0"/>
        <v> </v>
      </c>
      <c r="D25" s="204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13">
        <f t="shared" si="1"/>
        <v>0</v>
      </c>
      <c r="Q25" s="35">
        <f t="shared" si="2"/>
        <v>0</v>
      </c>
      <c r="R25" s="36">
        <f t="shared" si="4"/>
        <v>0</v>
      </c>
      <c r="S25" s="180"/>
      <c r="T25" s="220"/>
      <c r="U25" s="180"/>
      <c r="V25" s="676"/>
      <c r="W25" s="31" t="s">
        <v>240</v>
      </c>
      <c r="X25" s="629"/>
      <c r="Y25" s="629"/>
      <c r="Z25" s="629"/>
      <c r="AB25" s="495">
        <v>4</v>
      </c>
      <c r="AC25" s="498">
        <v>5</v>
      </c>
      <c r="AD25" s="498"/>
      <c r="AE25" s="501">
        <f>IF(C19&lt;&gt;" ",1,0)</f>
        <v>0</v>
      </c>
      <c r="AF25" s="684"/>
      <c r="AG25"/>
      <c r="AH25"/>
      <c r="AI25"/>
    </row>
    <row r="26" spans="1:35" ht="12.75" customHeight="1">
      <c r="A26" s="201">
        <v>8</v>
      </c>
      <c r="B26" s="506" t="s">
        <v>164</v>
      </c>
      <c r="C26" s="203" t="str">
        <f>IF(AND(B26="K",D26&lt;&gt;0),1," ")</f>
        <v> </v>
      </c>
      <c r="D26" s="204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3">
        <f t="shared" si="1"/>
        <v>0</v>
      </c>
      <c r="Q26" s="35">
        <f t="shared" si="2"/>
        <v>0</v>
      </c>
      <c r="R26" s="36">
        <f t="shared" si="4"/>
        <v>0</v>
      </c>
      <c r="S26" s="180"/>
      <c r="T26" s="220"/>
      <c r="U26" s="180"/>
      <c r="V26" s="676">
        <v>7</v>
      </c>
      <c r="W26" s="31">
        <v>7</v>
      </c>
      <c r="X26" s="629">
        <f>+P24+P25+P31</f>
        <v>0</v>
      </c>
      <c r="Y26" s="629"/>
      <c r="Z26" s="629">
        <f>COUNTIF(D24:O24,"&gt;0")+COUNTIF(D25:O25,"&gt;0")+COUNTIF(D31:O31,"&gt;0")</f>
        <v>0</v>
      </c>
      <c r="AB26" s="496">
        <v>4</v>
      </c>
      <c r="AC26" s="499">
        <v>5</v>
      </c>
      <c r="AD26" s="499">
        <v>6</v>
      </c>
      <c r="AE26" s="502">
        <f>IF(C30&lt;&gt;" ",1,0)</f>
        <v>0</v>
      </c>
      <c r="AF26" s="685"/>
      <c r="AG26"/>
      <c r="AH26"/>
      <c r="AI26"/>
    </row>
    <row r="27" spans="1:35" ht="12.75" customHeight="1">
      <c r="A27" s="11" t="s">
        <v>164</v>
      </c>
      <c r="B27" s="206" t="s">
        <v>206</v>
      </c>
      <c r="C27" s="203" t="str">
        <f t="shared" si="0"/>
        <v> </v>
      </c>
      <c r="D27" s="204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13">
        <f t="shared" si="1"/>
        <v>0</v>
      </c>
      <c r="Q27" s="35">
        <f t="shared" si="2"/>
        <v>0</v>
      </c>
      <c r="R27" s="36">
        <f t="shared" si="4"/>
        <v>0</v>
      </c>
      <c r="S27" s="180"/>
      <c r="T27" s="220"/>
      <c r="U27" s="180"/>
      <c r="V27" s="676"/>
      <c r="W27" s="31" t="s">
        <v>241</v>
      </c>
      <c r="X27" s="629"/>
      <c r="Y27" s="629"/>
      <c r="Z27" s="629"/>
      <c r="AB27" s="497">
        <v>5</v>
      </c>
      <c r="AC27" s="500"/>
      <c r="AD27" s="500"/>
      <c r="AE27" s="503">
        <f>IF(C20&lt;&gt;" ",1,0)</f>
        <v>0</v>
      </c>
      <c r="AF27" s="683">
        <f>IF(OR(AE27=1,AE28=1,AE29=1,AE30=1),1,0)</f>
        <v>0</v>
      </c>
      <c r="AG27"/>
      <c r="AH27"/>
      <c r="AI27"/>
    </row>
    <row r="28" spans="1:35" ht="12.75" customHeight="1">
      <c r="A28" s="207">
        <v>9</v>
      </c>
      <c r="B28" s="507" t="s">
        <v>164</v>
      </c>
      <c r="C28" s="203" t="str">
        <f>IF(AND(B28="K",D28&lt;&gt;0),1," ")</f>
        <v> </v>
      </c>
      <c r="D28" s="2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14">
        <f t="shared" si="1"/>
        <v>0</v>
      </c>
      <c r="Q28" s="37">
        <f t="shared" si="2"/>
        <v>0</v>
      </c>
      <c r="R28" s="38">
        <f t="shared" si="4"/>
        <v>0</v>
      </c>
      <c r="S28" s="180"/>
      <c r="T28" s="180"/>
      <c r="U28" s="180"/>
      <c r="V28" s="676"/>
      <c r="W28" s="31" t="s">
        <v>242</v>
      </c>
      <c r="X28" s="629"/>
      <c r="Y28" s="629"/>
      <c r="Z28" s="629"/>
      <c r="AB28" s="495">
        <v>5</v>
      </c>
      <c r="AC28" s="498">
        <v>4</v>
      </c>
      <c r="AD28" s="498"/>
      <c r="AE28" s="501">
        <f>IF(C19&lt;&gt;" ",1,0)</f>
        <v>0</v>
      </c>
      <c r="AF28" s="684"/>
      <c r="AG28"/>
      <c r="AH28"/>
      <c r="AI28"/>
    </row>
    <row r="29" spans="1:35" ht="12.75" customHeight="1">
      <c r="A29" s="11" t="s">
        <v>164</v>
      </c>
      <c r="B29" s="206" t="s">
        <v>207</v>
      </c>
      <c r="C29" s="210" t="str">
        <f>IF(AND(A29="K",D29&lt;&gt;0),2," ")</f>
        <v> </v>
      </c>
      <c r="D29" s="204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2">
        <f t="shared" si="1"/>
        <v>0</v>
      </c>
      <c r="Q29" s="37">
        <f t="shared" si="2"/>
        <v>0</v>
      </c>
      <c r="R29" s="38">
        <f t="shared" si="3"/>
        <v>0</v>
      </c>
      <c r="S29" s="180"/>
      <c r="T29" s="180"/>
      <c r="U29" s="180"/>
      <c r="V29" s="676">
        <v>8</v>
      </c>
      <c r="W29" s="31">
        <v>8</v>
      </c>
      <c r="X29" s="629">
        <f>+P26+P27</f>
        <v>0</v>
      </c>
      <c r="Y29" s="629"/>
      <c r="Z29" s="629">
        <f>COUNTIF(D26:O26,"&gt;0")+COUNTIF(D27:O27,"&gt;0")</f>
        <v>0</v>
      </c>
      <c r="AB29" s="495">
        <v>5</v>
      </c>
      <c r="AC29" s="498">
        <v>6</v>
      </c>
      <c r="AD29" s="498"/>
      <c r="AE29" s="501">
        <f>IF(C21&lt;&gt;" ",1,0)</f>
        <v>0</v>
      </c>
      <c r="AF29" s="684"/>
      <c r="AG29"/>
      <c r="AH29"/>
      <c r="AI29"/>
    </row>
    <row r="30" spans="1:35" ht="12.75" customHeight="1">
      <c r="A30" s="11" t="s">
        <v>164</v>
      </c>
      <c r="B30" s="206" t="s">
        <v>208</v>
      </c>
      <c r="C30" s="210" t="str">
        <f>IF(AND(A30="K",D30&lt;&gt;0),2," ")</f>
        <v> </v>
      </c>
      <c r="D30" s="204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2">
        <f t="shared" si="1"/>
        <v>0</v>
      </c>
      <c r="Q30" s="37">
        <f t="shared" si="2"/>
        <v>0</v>
      </c>
      <c r="R30" s="38">
        <f t="shared" si="3"/>
        <v>0</v>
      </c>
      <c r="S30" s="180"/>
      <c r="T30" s="180"/>
      <c r="U30" s="180"/>
      <c r="V30" s="676"/>
      <c r="W30" s="31" t="s">
        <v>243</v>
      </c>
      <c r="X30" s="629"/>
      <c r="Y30" s="629"/>
      <c r="Z30" s="629"/>
      <c r="AB30" s="496">
        <v>5</v>
      </c>
      <c r="AC30" s="499">
        <v>6</v>
      </c>
      <c r="AD30" s="499">
        <v>4</v>
      </c>
      <c r="AE30" s="502">
        <f>IF(C30&lt;&gt;" ",1,0)</f>
        <v>0</v>
      </c>
      <c r="AF30" s="685"/>
      <c r="AG30"/>
      <c r="AH30"/>
      <c r="AI30"/>
    </row>
    <row r="31" spans="1:35" ht="12.75" customHeight="1">
      <c r="A31" s="15" t="s">
        <v>164</v>
      </c>
      <c r="B31" s="218" t="s">
        <v>209</v>
      </c>
      <c r="C31" s="211" t="str">
        <f>IF(AND(A31="K",D31&lt;&gt;0),2," ")</f>
        <v> </v>
      </c>
      <c r="D31" s="219"/>
      <c r="E31" s="49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P31" s="16">
        <f t="shared" si="1"/>
        <v>0</v>
      </c>
      <c r="Q31" s="37">
        <f t="shared" si="2"/>
        <v>0</v>
      </c>
      <c r="R31" s="38">
        <f>IF(COUNTIF($D31:$O31,"&gt;0"),COUNTIF($D31:$O31,"&gt;0")*3,0)</f>
        <v>0</v>
      </c>
      <c r="S31" s="180"/>
      <c r="T31" s="180"/>
      <c r="U31" s="180"/>
      <c r="V31" s="181">
        <v>9</v>
      </c>
      <c r="W31" s="31">
        <v>9</v>
      </c>
      <c r="X31" s="176">
        <f>+P28</f>
        <v>0</v>
      </c>
      <c r="Y31" s="176"/>
      <c r="Z31" s="176">
        <f>COUNTIF(D28:O28,"&gt;0")</f>
        <v>0</v>
      </c>
      <c r="AB31" s="497">
        <v>6</v>
      </c>
      <c r="AC31" s="500"/>
      <c r="AD31" s="500"/>
      <c r="AE31" s="503">
        <f>IF(C22&lt;&gt;" ",1,0)</f>
        <v>0</v>
      </c>
      <c r="AF31" s="683">
        <f>IF(OR(AE31=1,AE32=1,AE33=1,AE34=1),1,0)</f>
        <v>0</v>
      </c>
      <c r="AG31"/>
      <c r="AH31"/>
      <c r="AI31"/>
    </row>
    <row r="32" spans="1:35" ht="14.25" customHeight="1">
      <c r="A32" s="678" t="s">
        <v>162</v>
      </c>
      <c r="B32" s="679"/>
      <c r="C32" s="212"/>
      <c r="D32" s="17">
        <f>AF47</f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79">
        <f>SUM(P12:P31)</f>
        <v>0</v>
      </c>
      <c r="Q32" s="39">
        <f>SUM(Q12:Q31)</f>
        <v>0</v>
      </c>
      <c r="R32" s="40">
        <f>SUM(R12:R31)</f>
        <v>0</v>
      </c>
      <c r="V32" s="29"/>
      <c r="W32" s="27"/>
      <c r="X32" s="29">
        <f>SUM(X12:X31)</f>
        <v>0</v>
      </c>
      <c r="Y32" s="29">
        <f>SUM(Y12:Y31)</f>
        <v>0</v>
      </c>
      <c r="Z32" s="29"/>
      <c r="AB32" s="495">
        <v>6</v>
      </c>
      <c r="AC32" s="498">
        <v>5</v>
      </c>
      <c r="AD32" s="498"/>
      <c r="AE32" s="501">
        <f>IF(C21&lt;&gt;" ",1,0)</f>
        <v>0</v>
      </c>
      <c r="AF32" s="684"/>
      <c r="AG32"/>
      <c r="AH32"/>
      <c r="AI32"/>
    </row>
    <row r="33" spans="1:35" ht="14.25">
      <c r="A33" s="32">
        <f>IF(AND(D32&lt;0,P32&lt;&gt;0),"OPOZORILO: Program ne zajema vseh razredov osnovne šole. PREVERITE !","")</f>
      </c>
      <c r="B33" s="214"/>
      <c r="C33" s="214">
        <f>SUM(C12:C31)</f>
        <v>0</v>
      </c>
      <c r="D33" s="214"/>
      <c r="P33" s="184"/>
      <c r="AB33" s="495">
        <v>6</v>
      </c>
      <c r="AC33" s="498">
        <v>7</v>
      </c>
      <c r="AD33" s="498"/>
      <c r="AE33" s="501">
        <f>IF(C23&lt;&gt;" ",1,0)</f>
        <v>0</v>
      </c>
      <c r="AF33" s="684"/>
      <c r="AG33"/>
      <c r="AH33"/>
      <c r="AI33"/>
    </row>
    <row r="34" spans="1:35" ht="14.25">
      <c r="A34" s="192"/>
      <c r="B34" s="214"/>
      <c r="C34" s="214"/>
      <c r="D34" s="214"/>
      <c r="P34" s="184"/>
      <c r="AB34" s="496">
        <v>6</v>
      </c>
      <c r="AC34" s="499">
        <v>5</v>
      </c>
      <c r="AD34" s="499">
        <v>4</v>
      </c>
      <c r="AE34" s="502">
        <f>IF(C30&lt;&gt;" ",1,0)</f>
        <v>0</v>
      </c>
      <c r="AF34" s="685"/>
      <c r="AG34"/>
      <c r="AH34"/>
      <c r="AI34"/>
    </row>
    <row r="35" spans="1:32" ht="14.25">
      <c r="A35" s="215"/>
      <c r="B35" s="215"/>
      <c r="C35" s="215"/>
      <c r="D35" s="21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AB35" s="497">
        <v>7</v>
      </c>
      <c r="AC35" s="500"/>
      <c r="AD35" s="500"/>
      <c r="AE35" s="503">
        <f>IF(C24&lt;&gt;" ",1,0)</f>
        <v>0</v>
      </c>
      <c r="AF35" s="683">
        <f>IF(OR(AE35=1,AE36=1,AE37=1,AE38=1),1,0)</f>
        <v>0</v>
      </c>
    </row>
    <row r="36" spans="1:32" ht="14.25">
      <c r="A36" s="675" t="s">
        <v>21</v>
      </c>
      <c r="B36" s="675"/>
      <c r="C36" s="675"/>
      <c r="D36" s="675"/>
      <c r="E36" s="675"/>
      <c r="F36" s="675"/>
      <c r="G36" s="675" t="s">
        <v>264</v>
      </c>
      <c r="H36" s="675"/>
      <c r="I36" s="675"/>
      <c r="J36" s="675"/>
      <c r="L36" s="675" t="s">
        <v>344</v>
      </c>
      <c r="M36" s="675"/>
      <c r="N36" s="675"/>
      <c r="O36" s="675"/>
      <c r="Q36" s="23" t="s">
        <v>265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495">
        <v>7</v>
      </c>
      <c r="AC36" s="498">
        <v>6</v>
      </c>
      <c r="AD36" s="498"/>
      <c r="AE36" s="501">
        <f>IF(C23&lt;&gt;" ",1,0)</f>
        <v>0</v>
      </c>
      <c r="AF36" s="684"/>
    </row>
    <row r="37" spans="6:32" ht="14.25">
      <c r="F37" s="25"/>
      <c r="G37" s="674">
        <f>IF('obrazec 1'!$F$4="","",IF(COUNT($D$12:$O$31)=0,"",'obrazec 1'!$F$12))</f>
      </c>
      <c r="H37" s="674"/>
      <c r="I37" s="674"/>
      <c r="J37" s="674"/>
      <c r="L37" s="674">
        <f>IF('obrazec 1'!$F$4="","",IF(COUNT($D$12:$O$31)=0,"",'obrazec 1'!$F$4))</f>
      </c>
      <c r="M37" s="674"/>
      <c r="N37" s="674"/>
      <c r="O37" s="674"/>
      <c r="Q37" s="674">
        <f>IF('obrazec 1'!$F$4="","",IF(COUNT($D$12:$O$31)=0,"",IF(AND('obrazec 1'!$F$3="NE",'obrazec 1'!$J$12&lt;&gt;""),'obrazec 1'!$J$12,'obrazec 1'!$F$4)))</f>
      </c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495">
        <v>7</v>
      </c>
      <c r="AC37" s="498">
        <v>8</v>
      </c>
      <c r="AD37" s="498"/>
      <c r="AE37" s="501">
        <f>IF(C25&lt;&gt;" ",1,0)</f>
        <v>0</v>
      </c>
      <c r="AF37" s="684"/>
    </row>
    <row r="38" spans="1:32" ht="14.25">
      <c r="A38" s="639">
        <f>IF('obrazec 1'!H71="","",IF(COUNT($D$12:$O$31)=0,"",'obrazec 1'!H71))</f>
      </c>
      <c r="B38" s="639"/>
      <c r="C38" s="639"/>
      <c r="D38" s="639"/>
      <c r="E38" s="639"/>
      <c r="F38" s="25"/>
      <c r="G38" s="677">
        <f>IF('obrazec 1'!$F$4="","",IF(COUNT($D$12:$O$31)=0,"",'obrazec 1'!$F$14))</f>
      </c>
      <c r="H38" s="677"/>
      <c r="I38" s="677"/>
      <c r="J38" s="677"/>
      <c r="L38" s="677">
        <f>IF('obrazec 1'!$F$4="","",IF(COUNT($D$12:$O$31)=0,"",'obrazec 1'!$F$6))</f>
      </c>
      <c r="M38" s="677"/>
      <c r="N38" s="677"/>
      <c r="O38" s="677"/>
      <c r="Q38" s="639">
        <f>IF('obrazec 1'!$F$4="","",IF(COUNT($D$12:$O$31)=0,"",IF(AND('obrazec 1'!$F$3="NE",'obrazec 1'!$J$12&lt;&gt;""),'obrazec 1'!$J$14,'obrazec 1'!$F$6)))</f>
      </c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496">
        <v>7</v>
      </c>
      <c r="AC38" s="499">
        <v>8</v>
      </c>
      <c r="AD38" s="499">
        <v>9</v>
      </c>
      <c r="AE38" s="502">
        <f>IF(C31&lt;&gt;" ",1,0)</f>
        <v>0</v>
      </c>
      <c r="AF38" s="685"/>
    </row>
    <row r="39" spans="6:32" ht="14.25">
      <c r="F39" s="25"/>
      <c r="G39" s="25"/>
      <c r="H39" s="25"/>
      <c r="AB39" s="497">
        <v>8</v>
      </c>
      <c r="AC39" s="500"/>
      <c r="AD39" s="500"/>
      <c r="AE39" s="503">
        <f>IF(C26&lt;&gt;" ",1,0)</f>
        <v>0</v>
      </c>
      <c r="AF39" s="683">
        <f>IF(OR(AE39=1,AE40=1,AE41=1,AE42=1),1,0)</f>
        <v>0</v>
      </c>
    </row>
    <row r="40" spans="6:32" ht="14.25">
      <c r="F40" s="25"/>
      <c r="G40" s="25"/>
      <c r="H40" s="25"/>
      <c r="AB40" s="495">
        <v>8</v>
      </c>
      <c r="AC40" s="498">
        <v>7</v>
      </c>
      <c r="AD40" s="498"/>
      <c r="AE40" s="501">
        <f>IF(C25&lt;&gt;" ",1,0)</f>
        <v>0</v>
      </c>
      <c r="AF40" s="684"/>
    </row>
    <row r="41" spans="6:32" ht="14.25">
      <c r="F41" s="25"/>
      <c r="G41" s="25"/>
      <c r="H41" s="25"/>
      <c r="AB41" s="495">
        <v>8</v>
      </c>
      <c r="AC41" s="498">
        <v>9</v>
      </c>
      <c r="AD41" s="498"/>
      <c r="AE41" s="501">
        <f>IF(C27&lt;&gt;" ",1,0)</f>
        <v>0</v>
      </c>
      <c r="AF41" s="684"/>
    </row>
    <row r="42" spans="6:32" ht="14.25">
      <c r="F42" s="25"/>
      <c r="G42" s="25"/>
      <c r="H42" s="25"/>
      <c r="AB42" s="496">
        <v>8</v>
      </c>
      <c r="AC42" s="499">
        <v>9</v>
      </c>
      <c r="AD42" s="499">
        <v>7</v>
      </c>
      <c r="AE42" s="502">
        <f>IF(C31&lt;&gt;" ",1,0)</f>
        <v>0</v>
      </c>
      <c r="AF42" s="685"/>
    </row>
    <row r="43" spans="6:32" ht="14.25">
      <c r="F43" s="25"/>
      <c r="G43" s="25"/>
      <c r="H43" s="25"/>
      <c r="AB43" s="497">
        <v>9</v>
      </c>
      <c r="AC43" s="500"/>
      <c r="AD43" s="500"/>
      <c r="AE43" s="503">
        <f>IF(C28&lt;&gt;" ",1,0)</f>
        <v>0</v>
      </c>
      <c r="AF43" s="683">
        <f>IF(OR(AE43=1,AE44=1,AE45=1),1,0)</f>
        <v>0</v>
      </c>
    </row>
    <row r="44" spans="6:32" ht="14.25">
      <c r="F44" s="25"/>
      <c r="G44" s="25"/>
      <c r="H44" s="25"/>
      <c r="AB44" s="495">
        <v>9</v>
      </c>
      <c r="AC44" s="498">
        <v>8</v>
      </c>
      <c r="AD44" s="498"/>
      <c r="AE44" s="501">
        <f>IF(C27&lt;&gt;" ",1,0)</f>
        <v>0</v>
      </c>
      <c r="AF44" s="684"/>
    </row>
    <row r="45" spans="28:32" ht="14.25">
      <c r="AB45" s="496">
        <v>9</v>
      </c>
      <c r="AC45" s="499">
        <v>8</v>
      </c>
      <c r="AD45" s="499">
        <v>7</v>
      </c>
      <c r="AE45" s="504">
        <f>IF(C31&lt;&gt;" ",1,0)</f>
        <v>0</v>
      </c>
      <c r="AF45" s="685"/>
    </row>
    <row r="46" spans="28:32" ht="14.25">
      <c r="AB46" s="491"/>
      <c r="AC46" s="491"/>
      <c r="AD46" s="491"/>
      <c r="AE46" s="493"/>
      <c r="AF46" s="493"/>
    </row>
    <row r="47" spans="28:32" ht="14.25">
      <c r="AB47" s="493"/>
      <c r="AC47" s="493"/>
      <c r="AD47" s="493"/>
      <c r="AE47" s="493"/>
      <c r="AF47" s="494">
        <f>SUM(AF12:AF45)</f>
        <v>0</v>
      </c>
    </row>
  </sheetData>
  <sheetProtection password="C86A" sheet="1" objects="1" scenarios="1" selectLockedCells="1"/>
  <mergeCells count="56">
    <mergeCell ref="Q37:AA37"/>
    <mergeCell ref="Q38:AA38"/>
    <mergeCell ref="AF31:AF34"/>
    <mergeCell ref="A32:B32"/>
    <mergeCell ref="A36:F36"/>
    <mergeCell ref="G36:J36"/>
    <mergeCell ref="L36:O36"/>
    <mergeCell ref="A38:E38"/>
    <mergeCell ref="G38:J38"/>
    <mergeCell ref="L38:O38"/>
    <mergeCell ref="L37:O37"/>
    <mergeCell ref="G37:J37"/>
    <mergeCell ref="V26:V28"/>
    <mergeCell ref="X26:X28"/>
    <mergeCell ref="Y26:Y28"/>
    <mergeCell ref="Z26:Z28"/>
    <mergeCell ref="V29:V30"/>
    <mergeCell ref="X29:X30"/>
    <mergeCell ref="Y29:Y30"/>
    <mergeCell ref="Z29:Z30"/>
    <mergeCell ref="V22:V23"/>
    <mergeCell ref="X22:X23"/>
    <mergeCell ref="Y22:Y23"/>
    <mergeCell ref="Z22:Z23"/>
    <mergeCell ref="V24:V25"/>
    <mergeCell ref="X24:X25"/>
    <mergeCell ref="Y24:Y25"/>
    <mergeCell ref="Z24:Z25"/>
    <mergeCell ref="X12:X14"/>
    <mergeCell ref="Z12:Z14"/>
    <mergeCell ref="V15:V16"/>
    <mergeCell ref="X15:X16"/>
    <mergeCell ref="Y15:Y16"/>
    <mergeCell ref="Z15:Z16"/>
    <mergeCell ref="Y12:Y14"/>
    <mergeCell ref="X19:X21"/>
    <mergeCell ref="Y19:Y21"/>
    <mergeCell ref="Z19:Z21"/>
    <mergeCell ref="V17:V18"/>
    <mergeCell ref="X17:X18"/>
    <mergeCell ref="Y17:Y18"/>
    <mergeCell ref="Z17:Z18"/>
    <mergeCell ref="A2:R2"/>
    <mergeCell ref="A10:B11"/>
    <mergeCell ref="D10:O10"/>
    <mergeCell ref="P10:P11"/>
    <mergeCell ref="V12:V14"/>
    <mergeCell ref="V19:V21"/>
    <mergeCell ref="AF39:AF42"/>
    <mergeCell ref="AF43:AF45"/>
    <mergeCell ref="AF12:AF14"/>
    <mergeCell ref="AF15:AF18"/>
    <mergeCell ref="AF19:AF22"/>
    <mergeCell ref="AF23:AF26"/>
    <mergeCell ref="AF27:AF30"/>
    <mergeCell ref="AF35:AF3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&amp;R&amp;K00-024&amp;A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Gasper</dc:creator>
  <cp:keywords/>
  <dc:description/>
  <cp:lastModifiedBy>Nastja_KZ</cp:lastModifiedBy>
  <cp:lastPrinted>2016-01-28T13:07:41Z</cp:lastPrinted>
  <dcterms:created xsi:type="dcterms:W3CDTF">2010-06-03T07:13:19Z</dcterms:created>
  <dcterms:modified xsi:type="dcterms:W3CDTF">2017-10-20T10:03:46Z</dcterms:modified>
  <cp:category/>
  <cp:version/>
  <cp:contentType/>
  <cp:contentStatus/>
</cp:coreProperties>
</file>